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010" windowWidth="7215" windowHeight="2565" activeTab="0"/>
  </bookViews>
  <sheets>
    <sheet name="Specification Sheet" sheetId="1" r:id="rId1"/>
    <sheet name="Steel Design" sheetId="2" r:id="rId2"/>
    <sheet name="Foundation Design - 1" sheetId="3" r:id="rId3"/>
    <sheet name="Foundation Design - 2" sheetId="4" r:id="rId4"/>
    <sheet name="Foundation Design - 3" sheetId="5" r:id="rId5"/>
  </sheets>
  <definedNames>
    <definedName name="ACwvu.none." localSheetId="0" hidden="1">'Specification Sheet'!#REF!</definedName>
    <definedName name="_xlnm.Print_Area" localSheetId="0">'Specification Sheet'!$A$1:$AJ$60</definedName>
    <definedName name="Swvu.none." localSheetId="0" hidden="1">'Specification Sheet'!#REF!</definedName>
    <definedName name="wvu.none." localSheetId="0" hidden="1">{FALSE,FALSE,-1.25,-15.5,484.5,253.5,FALSE,TRUE,TRUE,TRUE,0,2,#N/A,2,#N/A,31.473684210526315,17.25,1,FALSE,FALSE,3,TRUE,1,FALSE,100,"Swvu.none.","ACwvu.none.",#N/A,FALSE,FALSE,0.75,0.25,0.25,0.25,1,"","",FALSE,FALSE,FALSE,FALSE,1,100,#N/A,#N/A,FALSE,FALSE,FALSE,FALSE,FALSE,FALSE,TRUE,1,65532,65532,FALSE,FALSE,TRUE,TRUE,TRUE}</definedName>
  </definedNames>
  <calcPr fullCalcOnLoad="1"/>
</workbook>
</file>

<file path=xl/comments1.xml><?xml version="1.0" encoding="utf-8"?>
<comments xmlns="http://schemas.openxmlformats.org/spreadsheetml/2006/main">
  <authors>
    <author>Art Montemayor</author>
  </authors>
  <commentList>
    <comment ref="B54" authorId="0">
      <text>
        <r>
          <rPr>
            <b/>
            <sz val="8"/>
            <rFont val="Tahoma"/>
            <family val="0"/>
          </rPr>
          <t>Comment:  Indicate special conditions and operations during startups, shutdowns, regenerations, vibrations, etc. which may affect mechanical design input</t>
        </r>
        <r>
          <rPr>
            <sz val="8"/>
            <rFont val="Tahoma"/>
            <family val="0"/>
          </rPr>
          <t xml:space="preserve">
</t>
        </r>
      </text>
    </comment>
    <comment ref="B40" authorId="0">
      <text>
        <r>
          <rPr>
            <b/>
            <sz val="8"/>
            <rFont val="Tahoma"/>
            <family val="0"/>
          </rPr>
          <t>Comment:  Is a vacuum relief required for certain emergency scenarios?  If so, give the set relief pressure.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Comment:</t>
        </r>
        <r>
          <rPr>
            <sz val="8"/>
            <rFont val="Tahoma"/>
            <family val="0"/>
          </rPr>
          <t xml:space="preserve">
Indicate any Client or specifically indicated tank design specifications that must be considered in the fabrication.</t>
        </r>
      </text>
    </comment>
    <comment ref="S53" authorId="0">
      <text>
        <r>
          <rPr>
            <b/>
            <sz val="8"/>
            <rFont val="Tahoma"/>
            <family val="0"/>
          </rPr>
          <t>Note:  This information must be filled in by the Tank Fabricator or Vendor</t>
        </r>
        <r>
          <rPr>
            <sz val="8"/>
            <rFont val="Tahoma"/>
            <family val="0"/>
          </rPr>
          <t xml:space="preserve">
</t>
        </r>
      </text>
    </comment>
    <comment ref="AB53" authorId="0">
      <text>
        <r>
          <rPr>
            <b/>
            <sz val="8"/>
            <rFont val="Tahoma"/>
            <family val="0"/>
          </rPr>
          <t>Note:  This information must be filled in by the Tank Fabricator or Vendor</t>
        </r>
      </text>
    </comment>
    <comment ref="B7" authorId="0">
      <text>
        <r>
          <rPr>
            <b/>
            <sz val="8"/>
            <rFont val="Tahoma"/>
            <family val="2"/>
          </rPr>
          <t>Note:  This information must be filled in by the Tank Fabricator or Vendor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Note:  This information must be filled in by the Tank Fabricator or Vendor</t>
        </r>
      </text>
    </comment>
    <comment ref="U7" authorId="0">
      <text>
        <r>
          <rPr>
            <b/>
            <sz val="8"/>
            <rFont val="Tahoma"/>
            <family val="0"/>
          </rPr>
          <t>Note:  This information must be filled in by the Tank Fabricator or Vendor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<sst xmlns="http://schemas.openxmlformats.org/spreadsheetml/2006/main" count="515" uniqueCount="382">
  <si>
    <t>API 650 Design Calculations</t>
  </si>
  <si>
    <t>Annular Bottom Plate Thickness</t>
  </si>
  <si>
    <t>Shell Design :</t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</si>
  <si>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2.6(D)(H -1)(G)/S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= </t>
    </r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</si>
  <si>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2.6(D)(H-1)/(S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</t>
    </r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</si>
  <si>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Miniumum shell thickness, in inches</t>
    </r>
  </si>
  <si>
    <t>D = Normal tank diameter , in feet</t>
  </si>
  <si>
    <t>H = depth of tank , in feet</t>
  </si>
  <si>
    <t>G = design Specific gravity of liquid</t>
  </si>
  <si>
    <t>Sd = allowable Stress for Design condition</t>
  </si>
  <si>
    <t xml:space="preserve">E = joint efficiency </t>
  </si>
  <si>
    <t>CA = Corrosion Allowance</t>
  </si>
  <si>
    <r>
      <t>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allowable stress 516-60  Hydro Test</t>
    </r>
  </si>
  <si>
    <t xml:space="preserve">For First Course (Bottom) 516-60 Plate  </t>
  </si>
  <si>
    <r>
      <t>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allowable stress516-60 Hydro Test</t>
    </r>
  </si>
  <si>
    <t xml:space="preserve">For Second Course 516-60 Plate </t>
  </si>
  <si>
    <r>
      <t>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allowable stress 516-60 Hydro Test</t>
    </r>
  </si>
  <si>
    <t xml:space="preserve">For Third Course 516-60 Plate </t>
  </si>
  <si>
    <t xml:space="preserve">For Fourth Course 516-60 Plate </t>
  </si>
  <si>
    <t xml:space="preserve">For Fifth Course 516-60 Plate </t>
  </si>
  <si>
    <t>STORAGE TANK SPECIFICATION</t>
  </si>
  <si>
    <t xml:space="preserve">Sheet </t>
  </si>
  <si>
    <t>of</t>
  </si>
  <si>
    <t xml:space="preserve">               (English Units)</t>
  </si>
  <si>
    <t>Service</t>
  </si>
  <si>
    <t>CRUDE OIL</t>
  </si>
  <si>
    <t xml:space="preserve"> </t>
  </si>
  <si>
    <t>P&amp;ID No.</t>
  </si>
  <si>
    <t>Cone</t>
  </si>
  <si>
    <t>Dome</t>
  </si>
  <si>
    <t>Floating</t>
  </si>
  <si>
    <t>Flat</t>
  </si>
  <si>
    <t>Sloped</t>
  </si>
  <si>
    <t>OPERATING/DESIGN DATA</t>
  </si>
  <si>
    <t>NOZZLES/CONNECTIONS</t>
  </si>
  <si>
    <t>Mark</t>
  </si>
  <si>
    <t>Qty</t>
  </si>
  <si>
    <t>Size</t>
  </si>
  <si>
    <t>Rating</t>
  </si>
  <si>
    <t xml:space="preserve"> Face</t>
  </si>
  <si>
    <t>Cyclic</t>
  </si>
  <si>
    <t>Lethal</t>
  </si>
  <si>
    <t>Other</t>
  </si>
  <si>
    <t>A</t>
  </si>
  <si>
    <t>Roof Manway</t>
  </si>
  <si>
    <t>24"</t>
  </si>
  <si>
    <t>Vapor Pressure @ Max. Operating Temperature</t>
  </si>
  <si>
    <t xml:space="preserve"> psia</t>
  </si>
  <si>
    <t>E</t>
  </si>
  <si>
    <t>Shell Manway</t>
  </si>
  <si>
    <t>ºF</t>
  </si>
  <si>
    <t>Operating</t>
  </si>
  <si>
    <t>Design</t>
  </si>
  <si>
    <t>F</t>
  </si>
  <si>
    <t>48"x48"</t>
  </si>
  <si>
    <t>Negative Pressure</t>
  </si>
  <si>
    <t>in. WC</t>
  </si>
  <si>
    <t>G</t>
  </si>
  <si>
    <t>Stilling Vent</t>
  </si>
  <si>
    <t>6"</t>
  </si>
  <si>
    <t>Positive Pressure</t>
  </si>
  <si>
    <t>H</t>
  </si>
  <si>
    <t>Temperature Indicator</t>
  </si>
  <si>
    <t>1"</t>
  </si>
  <si>
    <t>----</t>
  </si>
  <si>
    <t>J</t>
  </si>
  <si>
    <t>Fill Nozzle</t>
  </si>
  <si>
    <t>8"</t>
  </si>
  <si>
    <t>K</t>
  </si>
  <si>
    <t>Mixer Manway</t>
  </si>
  <si>
    <t>30"</t>
  </si>
  <si>
    <t>No</t>
  </si>
  <si>
    <t>L</t>
  </si>
  <si>
    <t>Water Draw Nozzle</t>
  </si>
  <si>
    <t>4"</t>
  </si>
  <si>
    <t>METALLURGY</t>
  </si>
  <si>
    <t>M</t>
  </si>
  <si>
    <t>Top Center Vent</t>
  </si>
  <si>
    <t>Component</t>
  </si>
  <si>
    <t>Material</t>
  </si>
  <si>
    <t>Remarks</t>
  </si>
  <si>
    <t>N1</t>
  </si>
  <si>
    <t>Sample Tap</t>
  </si>
  <si>
    <t>3/4"</t>
  </si>
  <si>
    <t>Shell &amp; Bottom</t>
  </si>
  <si>
    <t>Normalized</t>
  </si>
  <si>
    <t>N2</t>
  </si>
  <si>
    <t>Roof</t>
  </si>
  <si>
    <t>P</t>
  </si>
  <si>
    <t>Roof Nozzle</t>
  </si>
  <si>
    <t>Lining/Coating</t>
  </si>
  <si>
    <t>CONSTRUCTION/FABRICATION</t>
  </si>
  <si>
    <t>Code (as appl.):</t>
  </si>
  <si>
    <t>API 650 LATEST EDITION</t>
  </si>
  <si>
    <t>Internals (attach separate sheet, as req'd):</t>
  </si>
  <si>
    <t>Mixer, Agitator</t>
  </si>
  <si>
    <t>Yes</t>
  </si>
  <si>
    <t>in.</t>
  </si>
  <si>
    <t>Seismic Zone</t>
  </si>
  <si>
    <t>Design Wind Velocity</t>
  </si>
  <si>
    <t xml:space="preserve">mph </t>
  </si>
  <si>
    <t>Radiograph</t>
  </si>
  <si>
    <t>%</t>
  </si>
  <si>
    <t>Paint Spec.</t>
  </si>
  <si>
    <t>lb</t>
  </si>
  <si>
    <t>Full of Water</t>
  </si>
  <si>
    <t>Rev</t>
  </si>
  <si>
    <t>Date</t>
  </si>
  <si>
    <t>Description</t>
  </si>
  <si>
    <t>By</t>
  </si>
  <si>
    <t>Chk.</t>
  </si>
  <si>
    <t>Appr.</t>
  </si>
  <si>
    <t>For Inquiry</t>
  </si>
  <si>
    <r>
      <t xml:space="preserve">  1.  Items marked with an asterisk (</t>
    </r>
    <r>
      <rPr>
        <b/>
        <sz val="10"/>
        <rFont val="Arial"/>
        <family val="2"/>
      </rPr>
      <t>*</t>
    </r>
    <r>
      <rPr>
        <sz val="8"/>
        <rFont val="Arial"/>
        <family val="2"/>
      </rPr>
      <t>) to be completed by Vendor/Fabricator.</t>
    </r>
  </si>
  <si>
    <t xml:space="preserve">  2. Fixed cone roof with internal floating roof.</t>
  </si>
  <si>
    <t>FOUNDATION DESIGN:</t>
  </si>
  <si>
    <t>Per API 650 (Appendix E)</t>
  </si>
  <si>
    <t>for seismic loading.</t>
  </si>
  <si>
    <t>DATA GIVEN:</t>
  </si>
  <si>
    <t>Seismic Zone;</t>
  </si>
  <si>
    <t>Zone Coefficient</t>
  </si>
  <si>
    <t>Z =</t>
  </si>
  <si>
    <t>Importance Factor</t>
  </si>
  <si>
    <t>Diameter of Tank</t>
  </si>
  <si>
    <t>D =</t>
  </si>
  <si>
    <t>I  =</t>
  </si>
  <si>
    <t>Height of Liquid Content (Design)</t>
  </si>
  <si>
    <t>H =</t>
  </si>
  <si>
    <t>Shell Height</t>
  </si>
  <si>
    <t>Hs =</t>
  </si>
  <si>
    <t>Design Specific Gravity</t>
  </si>
  <si>
    <t>G =</t>
  </si>
  <si>
    <r>
      <t>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</si>
  <si>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Thickness of Bottom PL Under Shell</t>
  </si>
  <si>
    <t>Yeild Strength of Bottom PL</t>
  </si>
  <si>
    <r>
      <t>F</t>
    </r>
    <r>
      <rPr>
        <vertAlign val="subscript"/>
        <sz val="10"/>
        <rFont val="Arial"/>
        <family val="2"/>
      </rPr>
      <t>by</t>
    </r>
    <r>
      <rPr>
        <sz val="10"/>
        <rFont val="Arial"/>
        <family val="0"/>
      </rPr>
      <t xml:space="preserve"> =</t>
    </r>
  </si>
  <si>
    <t>PSI</t>
  </si>
  <si>
    <t xml:space="preserve">Ws = </t>
  </si>
  <si>
    <t>Wy =</t>
  </si>
  <si>
    <t>Kips</t>
  </si>
  <si>
    <t>CALCULATIONS:</t>
  </si>
  <si>
    <t>ft-kips</t>
  </si>
  <si>
    <t xml:space="preserve">Constant = </t>
  </si>
  <si>
    <t># / ft</t>
  </si>
  <si>
    <r>
      <t>M / 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(Wt + 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)</t>
    </r>
  </si>
  <si>
    <t>Reistance to Overturning:( E.4.1) API 650</t>
  </si>
  <si>
    <t>M =</t>
  </si>
  <si>
    <t>&gt; 0.785</t>
  </si>
  <si>
    <t>b  =</t>
  </si>
  <si>
    <t>kips</t>
  </si>
  <si>
    <r>
      <t>W</t>
    </r>
    <r>
      <rPr>
        <vertAlign val="subscript"/>
        <sz val="9"/>
        <rFont val="Arial"/>
        <family val="2"/>
      </rPr>
      <t>L</t>
    </r>
    <r>
      <rPr>
        <sz val="9"/>
        <rFont val="Arial"/>
        <family val="0"/>
      </rPr>
      <t xml:space="preserve"> = 7.9t</t>
    </r>
    <r>
      <rPr>
        <vertAlign val="subscript"/>
        <sz val="9"/>
        <rFont val="Arial"/>
        <family val="2"/>
      </rPr>
      <t xml:space="preserve">b </t>
    </r>
    <r>
      <rPr>
        <sz val="9"/>
        <rFont val="Symbol"/>
        <family val="1"/>
      </rPr>
      <t>Ö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F</t>
    </r>
    <r>
      <rPr>
        <vertAlign val="subscript"/>
        <sz val="9"/>
        <rFont val="Arial"/>
        <family val="2"/>
      </rPr>
      <t>by</t>
    </r>
    <r>
      <rPr>
        <sz val="9"/>
        <rFont val="Arial"/>
        <family val="2"/>
      </rPr>
      <t xml:space="preserve"> G H  </t>
    </r>
  </si>
  <si>
    <t>kpf</t>
  </si>
  <si>
    <t>D = Diameter in Feet</t>
  </si>
  <si>
    <t>H = Height in Feet</t>
  </si>
  <si>
    <t>V = Volume in Cubic Feet</t>
  </si>
  <si>
    <r>
      <t>(G18)*(G16)*(G14)/(G13)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)</t>
    </r>
  </si>
  <si>
    <t>I</t>
  </si>
  <si>
    <t>Outlet Nozzle</t>
  </si>
  <si>
    <t>10"</t>
  </si>
  <si>
    <r>
      <t>p*</t>
    </r>
    <r>
      <rPr>
        <sz val="10"/>
        <rFont val="Arial"/>
        <family val="2"/>
      </rPr>
      <t>D</t>
    </r>
    <r>
      <rPr>
        <sz val="10"/>
        <rFont val="Arial"/>
        <family val="2"/>
      </rPr>
      <t>*H =</t>
    </r>
  </si>
  <si>
    <r>
      <t>p*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/4 =</t>
    </r>
  </si>
  <si>
    <t>Weight of Product</t>
  </si>
  <si>
    <t>Wt =</t>
  </si>
  <si>
    <r>
      <t>PI()/4(94.5)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(44.5)(.79)(62.4)</t>
    </r>
  </si>
  <si>
    <t>Seismic Coefficients:</t>
  </si>
  <si>
    <t xml:space="preserve">Xs = </t>
  </si>
  <si>
    <r>
      <t>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</si>
  <si>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t>D/H =</t>
  </si>
  <si>
    <r>
      <t>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/ 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</si>
  <si>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/ 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</si>
  <si>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</si>
  <si>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</si>
  <si>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t>Per Fig. E-2</t>
  </si>
  <si>
    <t>Per Fig. E-3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</si>
  <si>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/H 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</si>
  <si>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/H =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</si>
  <si>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</si>
  <si>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</si>
  <si>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t>Per Fig. E-4</t>
  </si>
  <si>
    <t>K = 0.6</t>
  </si>
  <si>
    <t>Seconds</t>
  </si>
  <si>
    <t>If Greater Than 4.5 seconds</t>
  </si>
  <si>
    <t>Lateral Force Coefficients:</t>
  </si>
  <si>
    <t>E-3.3</t>
  </si>
  <si>
    <r>
      <t xml:space="preserve">T =K (D 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 xml:space="preserve"> ) =.6 *(94.5</t>
    </r>
    <r>
      <rPr>
        <vertAlign val="superscript"/>
        <sz val="10"/>
        <rFont val="Arial"/>
        <family val="2"/>
      </rPr>
      <t xml:space="preserve"> 0.5</t>
    </r>
    <r>
      <rPr>
        <sz val="10"/>
        <rFont val="Arial"/>
        <family val="2"/>
      </rPr>
      <t xml:space="preserve">) = </t>
    </r>
  </si>
  <si>
    <r>
      <t>3.375 (s/T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= 3.375*1.5/5.83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</si>
  <si>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Seismic Loads:</t>
  </si>
  <si>
    <t>Weight of Shell</t>
  </si>
  <si>
    <r>
      <t>V = (Z)(I)</t>
    </r>
    <r>
      <rPr>
        <sz val="10"/>
        <rFont val="Arial"/>
        <family val="2"/>
      </rPr>
      <t xml:space="preserve"> {</t>
    </r>
    <r>
      <rPr>
        <sz val="10"/>
        <rFont val="Arial"/>
        <family val="2"/>
      </rPr>
      <t>(C1)(Ws)+(C1)(Wr)(Ht)+(C1)(W)(X)+(C2)(W2)(X2)}</t>
    </r>
    <r>
      <rPr>
        <b/>
        <sz val="10"/>
        <rFont val="Arial"/>
        <family val="2"/>
      </rPr>
      <t xml:space="preserve"> </t>
    </r>
  </si>
  <si>
    <r>
      <t>M = (Z)(I)</t>
    </r>
    <r>
      <rPr>
        <sz val="10"/>
        <rFont val="Arial"/>
        <family val="2"/>
      </rPr>
      <t xml:space="preserve"> { (C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)(Ws)(Xs)+(C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)(Wr)(Ht)+(C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)(W)(X)+(C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)(W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)(X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)}</t>
    </r>
  </si>
  <si>
    <t>Not to exceed 1.25*GHD</t>
  </si>
  <si>
    <t>USE</t>
  </si>
  <si>
    <t>Shell Compression:  Per E-5</t>
  </si>
  <si>
    <t>Ft-Kips</t>
  </si>
  <si>
    <r>
      <t>(G76)/(G13)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(6.12)</t>
    </r>
  </si>
  <si>
    <t>Weight of Roof + Live Load = 107.4 + 210.4</t>
  </si>
  <si>
    <t>Ft</t>
  </si>
  <si>
    <t>Max. Longitudinal Compressive Force</t>
  </si>
  <si>
    <t xml:space="preserve">UnAnchored  Longitudinal Compressive Stress </t>
  </si>
  <si>
    <r>
      <t>GHD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/t</t>
    </r>
    <r>
      <rPr>
        <vertAlign val="superscript"/>
        <sz val="10"/>
        <rFont val="Arial"/>
        <family val="2"/>
      </rPr>
      <t>2</t>
    </r>
  </si>
  <si>
    <r>
      <t>1.255 *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=</t>
    </r>
  </si>
  <si>
    <r>
      <t>Fa=10</t>
    </r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(</t>
    </r>
    <r>
      <rPr>
        <sz val="10"/>
        <rFont val="Arial"/>
        <family val="0"/>
      </rPr>
      <t>t) / D =</t>
    </r>
  </si>
  <si>
    <t>psi</t>
  </si>
  <si>
    <t>Anchorage Not Required</t>
  </si>
  <si>
    <t xml:space="preserve">Allowable  Longitudinal Compressive Stress </t>
  </si>
  <si>
    <t>Max. Overturning Moment Due To Seismic Loads.</t>
  </si>
  <si>
    <t>Compression or Tension Due To Moment:</t>
  </si>
  <si>
    <t xml:space="preserve">Seismic Base Shear: </t>
  </si>
  <si>
    <t>(0.3)*(1.0)[ 0.6(221)(19.685)+ 0.6(317.8)(48.0)+ 0.6(8232)(16.7)+ 0.149(6924)(26.3)]</t>
  </si>
  <si>
    <t>(0.3)*(1.0)[ 0.6(221)+ 0.6(317.8)+ 0.6(8232)+ 0.149(6924)]</t>
  </si>
  <si>
    <t>b = 1.815+1.273*36415/94.5^2</t>
  </si>
  <si>
    <r>
      <t>Wt + 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583.8 / (PI()*94.5) + 4.153</t>
    </r>
  </si>
  <si>
    <t>7000 / 6</t>
  </si>
  <si>
    <t>Use Following Weight  Values for Materials</t>
  </si>
  <si>
    <t>RINGWALL DESIGN:</t>
  </si>
  <si>
    <t>Wt. Of Compacted Soil</t>
  </si>
  <si>
    <t>Wt. Of Concrete Wall</t>
  </si>
  <si>
    <t>Wt. Of Product in Tank</t>
  </si>
  <si>
    <t>Wt. of Steel</t>
  </si>
  <si>
    <t>Horizontal Pressure on Ring Wall:</t>
  </si>
  <si>
    <r>
      <t>F=Kah(</t>
    </r>
    <r>
      <rPr>
        <sz val="10"/>
        <rFont val="Symbol"/>
        <family val="1"/>
      </rPr>
      <t>g</t>
    </r>
    <r>
      <rPr>
        <sz val="10"/>
        <rFont val="Arial"/>
        <family val="0"/>
      </rPr>
      <t>*p*H+1/2 soh)+270</t>
    </r>
  </si>
  <si>
    <t>0.3*6.0[(50*44.5+0.5*110*6.0)]+270</t>
  </si>
  <si>
    <t>Hoop Tension:</t>
  </si>
  <si>
    <t>1/2FD= 1/2(4869)(94.5)</t>
  </si>
  <si>
    <t>As= 231/24.0</t>
  </si>
  <si>
    <t>USE - 6 # 9 Bars Ea. Face</t>
  </si>
  <si>
    <t>USE - # 4 Bars at 12" on Center</t>
  </si>
  <si>
    <t>Minimum RingWall Thickness:</t>
  </si>
  <si>
    <r>
      <t xml:space="preserve">T = 2W /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*p*h - 2h (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c - </t>
    </r>
    <r>
      <rPr>
        <sz val="10"/>
        <rFont val="Symbol"/>
        <family val="1"/>
      </rPr>
      <t>g</t>
    </r>
    <r>
      <rPr>
        <sz val="10"/>
        <rFont val="Arial"/>
        <family val="0"/>
      </rPr>
      <t>so)</t>
    </r>
  </si>
  <si>
    <t>W = 1100</t>
  </si>
  <si>
    <t>(2)(1100)/50(44.5)-2(6.0)(150-110)</t>
  </si>
  <si>
    <t>Concrete Tensile Stress:</t>
  </si>
  <si>
    <t>.15(3000)</t>
  </si>
  <si>
    <r>
      <t>.0003(29*10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)(10)+231000/(16*72)+(9*10)</t>
    </r>
  </si>
  <si>
    <t>Soil Bearing:</t>
  </si>
  <si>
    <r>
      <t>f</t>
    </r>
    <r>
      <rPr>
        <vertAlign val="subscript"/>
        <sz val="10"/>
        <rFont val="Arial"/>
        <family val="2"/>
      </rPr>
      <t>ct</t>
    </r>
    <r>
      <rPr>
        <sz val="10"/>
        <rFont val="Arial"/>
        <family val="2"/>
      </rPr>
      <t xml:space="preserve"> = c(Es)(As)+T / Ac + n (As)</t>
    </r>
  </si>
  <si>
    <t>Try 3'- 6" Footing</t>
  </si>
  <si>
    <t>Weight. of Wall = 1.33*5.0*.150</t>
  </si>
  <si>
    <t>Weight of Footing = 3.5*1.0*.150</t>
  </si>
  <si>
    <t>Weight of Fill = 2.17*4.0*.110</t>
  </si>
  <si>
    <t>Case 1</t>
  </si>
  <si>
    <t>Load from Shell + Roof + Live Load =</t>
  </si>
  <si>
    <t>Weight of Wall +Footing + Fill =</t>
  </si>
  <si>
    <t>Bearing Pressure =</t>
  </si>
  <si>
    <t>3.58/3.50</t>
  </si>
  <si>
    <t>Case 2</t>
  </si>
  <si>
    <t>Dead + Live Load + Earthquake Load =</t>
  </si>
  <si>
    <t xml:space="preserve">P = 3.58 + 5.19 = </t>
  </si>
  <si>
    <t xml:space="preserve">Moment at Base of Footing = </t>
  </si>
  <si>
    <t>.270(6.0)</t>
  </si>
  <si>
    <t xml:space="preserve">H = </t>
  </si>
  <si>
    <t>Bearing Pressure Under Footing =</t>
  </si>
  <si>
    <t>8.77/3.5*1</t>
  </si>
  <si>
    <t>2.51+.79</t>
  </si>
  <si>
    <t>Allowable Pressure = 3.0*1.33</t>
  </si>
  <si>
    <t>USE -4 # 9 Bars in Footing</t>
  </si>
  <si>
    <t>USE - # 4 Bars at 12" Horizontal</t>
  </si>
  <si>
    <t>NOTES:</t>
  </si>
  <si>
    <t>2. Use 10 gallons of asphalt per cubic yard of sand:</t>
  </si>
  <si>
    <t xml:space="preserve">1. Oiled sand to be mixture of sand and liquid asphalt (mc70): </t>
  </si>
  <si>
    <t>4. Maximum Deiation to be less than 1/4" overall:</t>
  </si>
  <si>
    <t>3. Top of concrete to be smooth and level with 1/8" +/- in any 30 feet of circumferential length:</t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</si>
  <si>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</t>
    </r>
  </si>
  <si>
    <r>
      <t>Miniumum shell thickness, in inches, 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2.6(D)(H-1)/(S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</t>
    </r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</si>
  <si>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2.6(D)(H -1)(G)/S</t>
    </r>
    <r>
      <rPr>
        <vertAlign val="subscript"/>
        <sz val="10"/>
        <rFont val="Arial"/>
        <family val="2"/>
      </rPr>
      <t xml:space="preserve">d  </t>
    </r>
    <r>
      <rPr>
        <sz val="10"/>
        <rFont val="Arial"/>
        <family val="0"/>
      </rPr>
      <t xml:space="preserve">= </t>
    </r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</si>
  <si>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2.6(D)(H-1)/(S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 =</t>
    </r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</si>
  <si>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Miniumum shell thickness, in inches =</t>
    </r>
  </si>
  <si>
    <t>D = Normal tank diameter , in feet  =</t>
  </si>
  <si>
    <t>H = depth of tank , in feet  =</t>
  </si>
  <si>
    <t>G = design Specific gravity of liquid  =</t>
  </si>
  <si>
    <t xml:space="preserve">Tank is unanchored, use equations pertaining to unanchored tanks, </t>
  </si>
  <si>
    <t>Project No.</t>
  </si>
  <si>
    <t>Service :</t>
  </si>
  <si>
    <t>CRUDE OIL Storage</t>
  </si>
  <si>
    <t>Equipment No. :</t>
  </si>
  <si>
    <t>T-400 &amp; T-405</t>
  </si>
  <si>
    <t xml:space="preserve">Cone </t>
  </si>
  <si>
    <t>Location :</t>
  </si>
  <si>
    <t>Unit :</t>
  </si>
  <si>
    <t>Design Engineer :</t>
  </si>
  <si>
    <t>Manufacturer :</t>
  </si>
  <si>
    <t>Model :</t>
  </si>
  <si>
    <t>Mfr Ref. No. :</t>
  </si>
  <si>
    <t>No. Req'd :</t>
  </si>
  <si>
    <t>Two</t>
  </si>
  <si>
    <t>Plot Plan No. :</t>
  </si>
  <si>
    <t>Other Ref. Dwg No. :</t>
  </si>
  <si>
    <t>Shell Diameter :</t>
  </si>
  <si>
    <t>Feet</t>
  </si>
  <si>
    <t>Shell Height :</t>
  </si>
  <si>
    <t>Nominal Volume :</t>
  </si>
  <si>
    <t>Barrels</t>
  </si>
  <si>
    <t>Gallons</t>
  </si>
  <si>
    <t>Roof Type :</t>
  </si>
  <si>
    <t>Bottom Floor Type:</t>
  </si>
  <si>
    <t xml:space="preserve">Fluid Stored : </t>
  </si>
  <si>
    <t>Sp. Gr. :</t>
  </si>
  <si>
    <t>125#</t>
  </si>
  <si>
    <t xml:space="preserve">R. F. </t>
  </si>
  <si>
    <t xml:space="preserve">This Tank Service is considered: </t>
  </si>
  <si>
    <t>150#</t>
  </si>
  <si>
    <t>F. F.</t>
  </si>
  <si>
    <t xml:space="preserve">L. J. </t>
  </si>
  <si>
    <t>Flash Point (Closed Cup) :</t>
  </si>
  <si>
    <t xml:space="preserve"> Flush Cleanout MW</t>
  </si>
  <si>
    <t>API</t>
  </si>
  <si>
    <t>oz/in.2</t>
  </si>
  <si>
    <t>psig</t>
  </si>
  <si>
    <t>(Hydro)test Pressure expressed in Psig</t>
  </si>
  <si>
    <t>Minimum Fluid Temperature</t>
  </si>
  <si>
    <t>Maximum Fluid Temperature</t>
  </si>
  <si>
    <t>Emergency Vacuum Design ?</t>
  </si>
  <si>
    <t>Set @</t>
  </si>
  <si>
    <t>0.0.3</t>
  </si>
  <si>
    <t>CA, in.</t>
  </si>
  <si>
    <t>57370</t>
  </si>
  <si>
    <t>516 Grade 55</t>
  </si>
  <si>
    <t>D</t>
  </si>
  <si>
    <t>Spare</t>
  </si>
  <si>
    <t>2"</t>
  </si>
  <si>
    <t>Heater</t>
  </si>
  <si>
    <t>131 Grades A-B-CS</t>
  </si>
  <si>
    <t>Cooler</t>
  </si>
  <si>
    <t>131 Grade EH-36</t>
  </si>
  <si>
    <t>Stress Relieve ?</t>
  </si>
  <si>
    <t>for:</t>
  </si>
  <si>
    <t>283 Grade C</t>
  </si>
  <si>
    <t>Baffles</t>
  </si>
  <si>
    <t>285 Grade C</t>
  </si>
  <si>
    <t>Others:</t>
  </si>
  <si>
    <t>Roof Support</t>
  </si>
  <si>
    <t>A36</t>
  </si>
  <si>
    <t>Design Specifications:</t>
  </si>
  <si>
    <t>Sump</t>
  </si>
  <si>
    <t>442 Grade 55</t>
  </si>
  <si>
    <t>Tank Insulation ?</t>
  </si>
  <si>
    <t>Thickness :</t>
  </si>
  <si>
    <t xml:space="preserve">Hot </t>
  </si>
  <si>
    <t>442 Grade 60</t>
  </si>
  <si>
    <t>Insulation Type:</t>
  </si>
  <si>
    <t>Inspection Req'd ?</t>
  </si>
  <si>
    <t>Cold</t>
  </si>
  <si>
    <t>Fireproofing ?</t>
  </si>
  <si>
    <t>EmptyTank Weight</t>
  </si>
  <si>
    <t>Pers. Protect.</t>
  </si>
  <si>
    <t>516 Grade 60</t>
  </si>
  <si>
    <t xml:space="preserve">Remarks </t>
  </si>
  <si>
    <t>Anti-Sweat</t>
  </si>
  <si>
    <t>516 Grade 65</t>
  </si>
  <si>
    <t>516 Grade 70</t>
  </si>
  <si>
    <t>5371</t>
  </si>
  <si>
    <t>Approvals</t>
  </si>
  <si>
    <t>5372</t>
  </si>
  <si>
    <t>57358</t>
  </si>
  <si>
    <t>57365</t>
  </si>
  <si>
    <t>633C - D</t>
  </si>
  <si>
    <t>662B</t>
  </si>
  <si>
    <t>662C</t>
  </si>
  <si>
    <t>678A</t>
  </si>
  <si>
    <t>678B</t>
  </si>
  <si>
    <t>737B</t>
  </si>
  <si>
    <r>
      <t>oz/in.</t>
    </r>
    <r>
      <rPr>
        <vertAlign val="superscript"/>
        <sz val="10"/>
        <rFont val="Arial"/>
        <family val="2"/>
      </rPr>
      <t>2</t>
    </r>
  </si>
  <si>
    <t>Kirwin</t>
  </si>
  <si>
    <t>DETAILED FOUNDATION DESIGN:</t>
  </si>
  <si>
    <t>PID115-EPF-01-112A1</t>
  </si>
  <si>
    <r>
      <t>490lb/ft</t>
    </r>
    <r>
      <rPr>
        <vertAlign val="superscript"/>
        <sz val="10"/>
        <rFont val="Arial"/>
        <family val="2"/>
      </rPr>
      <t>3</t>
    </r>
  </si>
  <si>
    <r>
      <t>110 lb/ft</t>
    </r>
    <r>
      <rPr>
        <vertAlign val="superscript"/>
        <sz val="10"/>
        <rFont val="Arial"/>
        <family val="2"/>
      </rPr>
      <t>3</t>
    </r>
  </si>
  <si>
    <r>
      <t>150 lb/ft</t>
    </r>
    <r>
      <rPr>
        <vertAlign val="superscript"/>
        <sz val="10"/>
        <rFont val="Arial"/>
        <family val="2"/>
      </rPr>
      <t>3</t>
    </r>
  </si>
  <si>
    <r>
      <t>50 lb/ft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</si>
  <si>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t>Use 16"  Thick Concrete Wall</t>
  </si>
  <si>
    <t>FROM ( BOTTOM COURSE) PLATE TO (TOP COURSE) PLATE</t>
  </si>
  <si>
    <t>in. Wall Thickness</t>
  </si>
  <si>
    <t>in. (Includes Corrosion Allowance)</t>
  </si>
  <si>
    <t>inches</t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</si>
  <si>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Miniumum shell thickness =</t>
    </r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</si>
  <si>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 2.6(D)(H-1)/(S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=</t>
    </r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</si>
  <si>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of Shell surface area</t>
    </r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</si>
  <si>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of Roof Area (estimated)</t>
    </r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</si>
  <si>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of Bottom Floor area</t>
    </r>
  </si>
  <si>
    <t>Tank Shell surface  =</t>
  </si>
  <si>
    <t>Tank Roof surface  =</t>
  </si>
  <si>
    <t>Tank Floor surface =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</si>
</sst>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_);_(@_)"/>
    <numFmt numFmtId="165" formatCode="_(&quot;$&quot;* #,##0.00_);_(&quot;$&quot;* \(#,##0.00\);_(&quot;$&quot;* &quot;-&quot;_);_(@_)"/>
    <numFmt numFmtId="166" formatCode="_(&quot;$&quot;* #,##0.000_);_(&quot;$&quot;* \(#,##0.000\);_(&quot;$&quot;* &quot;-&quot;_);_(@_)"/>
    <numFmt numFmtId="167" formatCode="_(&quot;$&quot;* #,##0.0000_);_(&quot;$&quot;* \(#,##0.0000\);_(&quot;$&quot;* &quot;-&quot;_);_(@_)"/>
    <numFmt numFmtId="168" formatCode="_(&quot;$&quot;* #,##0.00000_);_(&quot;$&quot;* \(#,##0.00000\);_(&quot;$&quot;* &quot;-&quot;_);_(@_)"/>
    <numFmt numFmtId="169" formatCode="_(&quot;$&quot;* #,##0.000000_);_(&quot;$&quot;* \(#,##0.000000\);_(&quot;$&quot;* &quot;-&quot;_);_(@_)"/>
    <numFmt numFmtId="170" formatCode="_(&quot;$&quot;* #,##0.0000000_);_(&quot;$&quot;* \(#,##0.0000000\);_(&quot;$&quot;* &quot;-&quot;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"/>
    <numFmt numFmtId="177" formatCode="0.0000"/>
    <numFmt numFmtId="178" formatCode="0.00000"/>
    <numFmt numFmtId="179" formatCode="0.00000000"/>
    <numFmt numFmtId="180" formatCode="0.0000000"/>
    <numFmt numFmtId="181" formatCode="0.000000"/>
    <numFmt numFmtId="182" formatCode="0.000%"/>
    <numFmt numFmtId="183" formatCode="#,##0.0"/>
    <numFmt numFmtId="184" formatCode="#,##0.000"/>
    <numFmt numFmtId="185" formatCode="#,##0.00000"/>
    <numFmt numFmtId="186" formatCode="#,##0.0000"/>
    <numFmt numFmtId="187" formatCode="0.000000000"/>
    <numFmt numFmtId="188" formatCode="0.0000000000"/>
    <numFmt numFmtId="189" formatCode="0.000000000000000"/>
    <numFmt numFmtId="190" formatCode="0.00000000000000"/>
    <numFmt numFmtId="191" formatCode="0.0000000000000"/>
    <numFmt numFmtId="192" formatCode="0.000000000000"/>
    <numFmt numFmtId="193" formatCode="0.0000000000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0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9"/>
      <name val="Arial"/>
      <family val="2"/>
    </font>
    <font>
      <sz val="9"/>
      <name val="Symbol"/>
      <family val="1"/>
    </font>
    <font>
      <vertAlign val="superscript"/>
      <sz val="9"/>
      <name val="Arial"/>
      <family val="2"/>
    </font>
    <font>
      <sz val="10"/>
      <name val="Symbol"/>
      <family val="1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 applyProtection="0">
      <alignment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77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0" fontId="0" fillId="0" borderId="0" xfId="58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4" fontId="0" fillId="0" borderId="0" xfId="42" applyNumberFormat="1" applyFont="1" applyAlignment="1">
      <alignment horizontal="right"/>
    </xf>
    <xf numFmtId="0" fontId="1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7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/>
    </xf>
    <xf numFmtId="183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4" fontId="1" fillId="0" borderId="0" xfId="42" applyNumberFormat="1" applyFont="1" applyAlignment="1">
      <alignment horizontal="left"/>
    </xf>
    <xf numFmtId="10" fontId="1" fillId="0" borderId="0" xfId="58" applyNumberFormat="1" applyFont="1" applyAlignment="1">
      <alignment/>
    </xf>
    <xf numFmtId="180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2" fontId="1" fillId="33" borderId="0" xfId="0" applyNumberFormat="1" applyFont="1" applyFill="1" applyAlignment="1" applyProtection="1">
      <alignment horizontal="right"/>
      <protection locked="0"/>
    </xf>
    <xf numFmtId="0" fontId="6" fillId="0" borderId="0" xfId="55" applyFont="1" applyBorder="1" applyProtection="1">
      <alignment/>
      <protection/>
    </xf>
    <xf numFmtId="0" fontId="0" fillId="0" borderId="0" xfId="55" applyBorder="1" applyProtection="1">
      <alignment/>
      <protection/>
    </xf>
    <xf numFmtId="0" fontId="6" fillId="0" borderId="0" xfId="55" applyFont="1" applyBorder="1" applyAlignment="1" applyProtection="1" quotePrefix="1">
      <alignment horizontal="right"/>
      <protection/>
    </xf>
    <xf numFmtId="0" fontId="7" fillId="0" borderId="10" xfId="55" applyFont="1" applyBorder="1" applyAlignment="1" applyProtection="1">
      <alignment horizontal="center"/>
      <protection/>
    </xf>
    <xf numFmtId="0" fontId="8" fillId="0" borderId="0" xfId="55" applyFont="1" applyBorder="1" applyAlignment="1" applyProtection="1">
      <alignment horizontal="center"/>
      <protection/>
    </xf>
    <xf numFmtId="0" fontId="0" fillId="0" borderId="0" xfId="55" applyProtection="1">
      <alignment/>
      <protection/>
    </xf>
    <xf numFmtId="0" fontId="0" fillId="0" borderId="0" xfId="55" applyBorder="1" applyAlignment="1" applyProtection="1">
      <alignment horizontal="left"/>
      <protection/>
    </xf>
    <xf numFmtId="0" fontId="8" fillId="0" borderId="0" xfId="55" applyFont="1" applyBorder="1" applyAlignment="1" applyProtection="1">
      <alignment vertical="center"/>
      <protection/>
    </xf>
    <xf numFmtId="0" fontId="9" fillId="0" borderId="0" xfId="55" applyFont="1" applyBorder="1" applyAlignment="1" applyProtection="1">
      <alignment horizontal="right" textRotation="90"/>
      <protection/>
    </xf>
    <xf numFmtId="0" fontId="8" fillId="0" borderId="0" xfId="55" applyFont="1" applyBorder="1" applyAlignment="1" applyProtection="1">
      <alignment vertical="top"/>
      <protection/>
    </xf>
    <xf numFmtId="0" fontId="7" fillId="0" borderId="0" xfId="55" applyFont="1" applyBorder="1" applyProtection="1">
      <alignment/>
      <protection/>
    </xf>
    <xf numFmtId="0" fontId="9" fillId="0" borderId="11" xfId="55" applyFont="1" applyBorder="1" applyAlignment="1" applyProtection="1">
      <alignment horizontal="right" textRotation="90"/>
      <protection/>
    </xf>
    <xf numFmtId="0" fontId="0" fillId="0" borderId="0" xfId="55" applyFont="1" applyProtection="1">
      <alignment/>
      <protection/>
    </xf>
    <xf numFmtId="49" fontId="6" fillId="0" borderId="0" xfId="55" applyNumberFormat="1" applyFont="1" applyBorder="1" applyAlignment="1" applyProtection="1">
      <alignment horizontal="right" vertical="center"/>
      <protection/>
    </xf>
    <xf numFmtId="0" fontId="1" fillId="0" borderId="0" xfId="55" applyFont="1" applyAlignment="1" applyProtection="1">
      <alignment horizontal="center"/>
      <protection/>
    </xf>
    <xf numFmtId="0" fontId="6" fillId="0" borderId="12" xfId="55" applyFont="1" applyBorder="1" applyAlignment="1" applyProtection="1">
      <alignment horizontal="left" vertical="center"/>
      <protection/>
    </xf>
    <xf numFmtId="0" fontId="6" fillId="0" borderId="12" xfId="55" applyFont="1" applyBorder="1" applyAlignment="1" applyProtection="1" quotePrefix="1">
      <alignment horizontal="left" vertical="center"/>
      <protection/>
    </xf>
    <xf numFmtId="0" fontId="6" fillId="0" borderId="13" xfId="55" applyFont="1" applyBorder="1" applyAlignment="1" applyProtection="1">
      <alignment horizontal="center" vertical="center"/>
      <protection/>
    </xf>
    <xf numFmtId="0" fontId="6" fillId="0" borderId="13" xfId="55" applyFont="1" applyBorder="1" applyAlignment="1" applyProtection="1">
      <alignment horizontal="left" vertical="center"/>
      <protection/>
    </xf>
    <xf numFmtId="18" fontId="0" fillId="0" borderId="0" xfId="55" applyNumberFormat="1" applyBorder="1" applyAlignment="1" applyProtection="1">
      <alignment horizontal="centerContinuous"/>
      <protection/>
    </xf>
    <xf numFmtId="0" fontId="0" fillId="0" borderId="0" xfId="55" applyBorder="1" applyAlignment="1" applyProtection="1">
      <alignment horizontal="centerContinuous"/>
      <protection/>
    </xf>
    <xf numFmtId="0" fontId="0" fillId="0" borderId="14" xfId="55" applyBorder="1" applyProtection="1">
      <alignment/>
      <protection/>
    </xf>
    <xf numFmtId="0" fontId="0" fillId="0" borderId="15" xfId="55" applyBorder="1" applyProtection="1">
      <alignment/>
      <protection/>
    </xf>
    <xf numFmtId="0" fontId="0" fillId="0" borderId="16" xfId="55" applyBorder="1" applyProtection="1">
      <alignment/>
      <protection/>
    </xf>
    <xf numFmtId="0" fontId="0" fillId="0" borderId="17" xfId="55" applyBorder="1" applyProtection="1">
      <alignment/>
      <protection/>
    </xf>
    <xf numFmtId="0" fontId="0" fillId="0" borderId="18" xfId="55" applyBorder="1" applyProtection="1">
      <alignment/>
      <protection/>
    </xf>
    <xf numFmtId="43" fontId="0" fillId="0" borderId="0" xfId="42" applyBorder="1" applyAlignment="1" applyProtection="1">
      <alignment horizontal="centerContinuous"/>
      <protection/>
    </xf>
    <xf numFmtId="3" fontId="0" fillId="0" borderId="0" xfId="55" applyNumberFormat="1" applyBorder="1" applyAlignment="1" applyProtection="1">
      <alignment horizontal="centerContinuous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Font="1" applyBorder="1" applyProtection="1">
      <alignment/>
      <protection/>
    </xf>
    <xf numFmtId="0" fontId="0" fillId="0" borderId="19" xfId="55" applyBorder="1" applyProtection="1">
      <alignment/>
      <protection/>
    </xf>
    <xf numFmtId="0" fontId="0" fillId="0" borderId="20" xfId="55" applyBorder="1" applyProtection="1">
      <alignment/>
      <protection/>
    </xf>
    <xf numFmtId="0" fontId="0" fillId="0" borderId="21" xfId="55" applyBorder="1" applyProtection="1">
      <alignment/>
      <protection/>
    </xf>
    <xf numFmtId="0" fontId="10" fillId="0" borderId="22" xfId="55" applyFont="1" applyBorder="1" applyAlignment="1" applyProtection="1">
      <alignment horizontal="left" vertical="center"/>
      <protection/>
    </xf>
    <xf numFmtId="0" fontId="6" fillId="0" borderId="20" xfId="55" applyFont="1" applyBorder="1" applyProtection="1">
      <alignment/>
      <protection/>
    </xf>
    <xf numFmtId="0" fontId="8" fillId="0" borderId="0" xfId="55" applyFont="1" applyBorder="1" applyProtection="1">
      <alignment/>
      <protection/>
    </xf>
    <xf numFmtId="0" fontId="6" fillId="0" borderId="12" xfId="55" applyFont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0" fontId="6" fillId="0" borderId="13" xfId="55" applyFont="1" applyBorder="1" applyAlignment="1" applyProtection="1">
      <alignment horizontal="left" vertical="center"/>
      <protection/>
    </xf>
    <xf numFmtId="0" fontId="6" fillId="0" borderId="23" xfId="55" applyFont="1" applyBorder="1" applyAlignment="1" applyProtection="1">
      <alignment vertical="center"/>
      <protection/>
    </xf>
    <xf numFmtId="0" fontId="7" fillId="0" borderId="12" xfId="55" applyFont="1" applyBorder="1" applyAlignment="1" applyProtection="1">
      <alignment horizontal="left" vertical="center"/>
      <protection/>
    </xf>
    <xf numFmtId="0" fontId="6" fillId="0" borderId="12" xfId="55" applyFont="1" applyBorder="1" applyAlignment="1" applyProtection="1">
      <alignment vertical="center"/>
      <protection/>
    </xf>
    <xf numFmtId="0" fontId="6" fillId="0" borderId="24" xfId="55" applyFont="1" applyBorder="1" applyAlignment="1" applyProtection="1">
      <alignment vertical="center"/>
      <protection/>
    </xf>
    <xf numFmtId="0" fontId="6" fillId="0" borderId="25" xfId="55" applyFont="1" applyBorder="1" applyAlignment="1" applyProtection="1">
      <alignment vertical="center"/>
      <protection/>
    </xf>
    <xf numFmtId="0" fontId="6" fillId="0" borderId="19" xfId="55" applyFont="1" applyBorder="1" applyAlignment="1" applyProtection="1">
      <alignment vertical="center"/>
      <protection/>
    </xf>
    <xf numFmtId="0" fontId="6" fillId="0" borderId="26" xfId="55" applyFont="1" applyBorder="1" applyAlignment="1" applyProtection="1">
      <alignment horizontal="centerContinuous" vertical="center"/>
      <protection/>
    </xf>
    <xf numFmtId="0" fontId="6" fillId="0" borderId="27" xfId="55" applyFont="1" applyBorder="1" applyAlignment="1" applyProtection="1">
      <alignment horizontal="centerContinuous" vertical="center"/>
      <protection/>
    </xf>
    <xf numFmtId="0" fontId="6" fillId="0" borderId="28" xfId="55" applyFont="1" applyBorder="1" applyAlignment="1" applyProtection="1">
      <alignment horizontal="centerContinuous" vertical="center"/>
      <protection/>
    </xf>
    <xf numFmtId="0" fontId="6" fillId="0" borderId="28" xfId="55" applyFont="1" applyBorder="1" applyAlignment="1" applyProtection="1" quotePrefix="1">
      <alignment horizontal="centerContinuous" vertical="center"/>
      <protection/>
    </xf>
    <xf numFmtId="0" fontId="6" fillId="0" borderId="29" xfId="55" applyFont="1" applyBorder="1" applyAlignment="1" applyProtection="1">
      <alignment horizontal="centerContinuous" vertical="center"/>
      <protection/>
    </xf>
    <xf numFmtId="0" fontId="6" fillId="0" borderId="30" xfId="55" applyFont="1" applyBorder="1" applyAlignment="1" applyProtection="1">
      <alignment horizontal="centerContinuous" vertical="center"/>
      <protection/>
    </xf>
    <xf numFmtId="49" fontId="6" fillId="0" borderId="0" xfId="55" applyNumberFormat="1" applyFont="1" applyBorder="1" applyAlignment="1" applyProtection="1">
      <alignment horizontal="right"/>
      <protection/>
    </xf>
    <xf numFmtId="0" fontId="10" fillId="0" borderId="0" xfId="55" applyFont="1" applyBorder="1" applyAlignment="1" applyProtection="1">
      <alignment horizontal="centerContinuous" vertical="center"/>
      <protection/>
    </xf>
    <xf numFmtId="0" fontId="6" fillId="0" borderId="0" xfId="55" applyFont="1" applyBorder="1" applyAlignment="1" applyProtection="1">
      <alignment horizontal="centerContinuous" vertical="center"/>
      <protection/>
    </xf>
    <xf numFmtId="0" fontId="6" fillId="0" borderId="0" xfId="55" applyFont="1" applyBorder="1" applyAlignment="1" applyProtection="1">
      <alignment vertical="center"/>
      <protection/>
    </xf>
    <xf numFmtId="0" fontId="6" fillId="0" borderId="0" xfId="55" applyFont="1" applyBorder="1" applyAlignment="1" applyProtection="1" quotePrefix="1">
      <alignment horizontal="left" vertical="center"/>
      <protection/>
    </xf>
    <xf numFmtId="0" fontId="6" fillId="0" borderId="0" xfId="55" applyFont="1" applyBorder="1" applyAlignment="1" applyProtection="1">
      <alignment horizontal="right" vertical="center"/>
      <protection/>
    </xf>
    <xf numFmtId="0" fontId="1" fillId="0" borderId="0" xfId="55" applyFont="1" applyBorder="1" applyAlignment="1" applyProtection="1">
      <alignment vertical="center"/>
      <protection/>
    </xf>
    <xf numFmtId="0" fontId="10" fillId="0" borderId="0" xfId="55" applyFont="1" applyBorder="1" applyAlignment="1" applyProtection="1">
      <alignment horizontal="centerContinuous" vertical="center"/>
      <protection/>
    </xf>
    <xf numFmtId="0" fontId="6" fillId="0" borderId="0" xfId="42" applyNumberFormat="1" applyFont="1" applyBorder="1" applyAlignment="1" applyProtection="1">
      <alignment horizontal="left" vertical="center"/>
      <protection/>
    </xf>
    <xf numFmtId="0" fontId="6" fillId="0" borderId="0" xfId="55" applyNumberFormat="1" applyFont="1" applyBorder="1" applyAlignment="1" applyProtection="1">
      <alignment horizontal="left" vertical="center"/>
      <protection/>
    </xf>
    <xf numFmtId="0" fontId="7" fillId="0" borderId="0" xfId="55" applyNumberFormat="1" applyFont="1" applyBorder="1" applyAlignment="1" applyProtection="1">
      <alignment horizontal="centerContinuous" vertical="center"/>
      <protection/>
    </xf>
    <xf numFmtId="2" fontId="7" fillId="0" borderId="0" xfId="42" applyNumberFormat="1" applyFont="1" applyBorder="1" applyAlignment="1" applyProtection="1">
      <alignment horizontal="centerContinuous" vertical="center"/>
      <protection/>
    </xf>
    <xf numFmtId="2" fontId="7" fillId="0" borderId="0" xfId="55" applyNumberFormat="1" applyFont="1" applyBorder="1" applyAlignment="1" applyProtection="1">
      <alignment horizontal="centerContinuous" vertical="center"/>
      <protection/>
    </xf>
    <xf numFmtId="0" fontId="7" fillId="0" borderId="0" xfId="55" applyFont="1" applyBorder="1" applyAlignment="1" applyProtection="1">
      <alignment horizontal="left" vertical="center"/>
      <protection/>
    </xf>
    <xf numFmtId="0" fontId="6" fillId="0" borderId="0" xfId="55" applyFont="1" applyBorder="1" applyAlignment="1" applyProtection="1" quotePrefix="1">
      <alignment horizontal="left" vertical="center"/>
      <protection/>
    </xf>
    <xf numFmtId="0" fontId="6" fillId="0" borderId="0" xfId="55" applyFont="1" applyBorder="1" applyAlignment="1" applyProtection="1">
      <alignment horizontal="left" vertical="center"/>
      <protection/>
    </xf>
    <xf numFmtId="37" fontId="6" fillId="0" borderId="0" xfId="42" applyNumberFormat="1" applyFont="1" applyBorder="1" applyAlignment="1" applyProtection="1">
      <alignment horizontal="left" vertical="center"/>
      <protection/>
    </xf>
    <xf numFmtId="37" fontId="6" fillId="0" borderId="0" xfId="42" applyNumberFormat="1" applyFont="1" applyBorder="1" applyAlignment="1" applyProtection="1">
      <alignment horizontal="right" vertical="center"/>
      <protection/>
    </xf>
    <xf numFmtId="174" fontId="8" fillId="0" borderId="0" xfId="42" applyNumberFormat="1" applyFont="1" applyBorder="1" applyAlignment="1" applyProtection="1">
      <alignment horizontal="right" vertical="center"/>
      <protection/>
    </xf>
    <xf numFmtId="0" fontId="6" fillId="0" borderId="0" xfId="42" applyNumberFormat="1" applyFont="1" applyBorder="1" applyAlignment="1" applyProtection="1">
      <alignment vertical="center"/>
      <protection/>
    </xf>
    <xf numFmtId="0" fontId="6" fillId="0" borderId="0" xfId="55" applyFont="1" applyBorder="1" applyAlignment="1" applyProtection="1">
      <alignment vertical="center"/>
      <protection/>
    </xf>
    <xf numFmtId="174" fontId="6" fillId="0" borderId="0" xfId="42" applyNumberFormat="1" applyFont="1" applyBorder="1" applyAlignment="1" applyProtection="1">
      <alignment horizontal="left" vertical="center"/>
      <protection/>
    </xf>
    <xf numFmtId="174" fontId="7" fillId="0" borderId="0" xfId="42" applyNumberFormat="1" applyFont="1" applyBorder="1" applyAlignment="1" applyProtection="1" quotePrefix="1">
      <alignment horizontal="left" vertical="center"/>
      <protection/>
    </xf>
    <xf numFmtId="174" fontId="7" fillId="0" borderId="0" xfId="42" applyNumberFormat="1" applyFont="1" applyBorder="1" applyAlignment="1" applyProtection="1">
      <alignment horizontal="left" vertical="center"/>
      <protection/>
    </xf>
    <xf numFmtId="0" fontId="6" fillId="0" borderId="0" xfId="55" applyFont="1" applyBorder="1" applyAlignment="1" applyProtection="1" quotePrefix="1">
      <alignment horizontal="right" vertical="center"/>
      <protection/>
    </xf>
    <xf numFmtId="0" fontId="1" fillId="0" borderId="0" xfId="55" applyNumberFormat="1" applyFont="1" applyBorder="1" applyAlignment="1" applyProtection="1">
      <alignment horizontal="center" vertical="center"/>
      <protection/>
    </xf>
    <xf numFmtId="0" fontId="6" fillId="0" borderId="0" xfId="55" applyNumberFormat="1" applyFont="1" applyBorder="1" applyAlignment="1" applyProtection="1" quotePrefix="1">
      <alignment horizontal="left" vertical="center"/>
      <protection/>
    </xf>
    <xf numFmtId="0" fontId="7" fillId="0" borderId="0" xfId="55" applyFont="1" applyBorder="1" applyAlignment="1" applyProtection="1">
      <alignment vertical="center"/>
      <protection/>
    </xf>
    <xf numFmtId="0" fontId="10" fillId="0" borderId="0" xfId="55" applyFont="1" applyBorder="1" applyAlignment="1" applyProtection="1" quotePrefix="1">
      <alignment horizontal="centerContinuous" vertical="center"/>
      <protection/>
    </xf>
    <xf numFmtId="0" fontId="7" fillId="0" borderId="0" xfId="55" applyFont="1" applyBorder="1" applyAlignment="1" applyProtection="1">
      <alignment horizontal="centerContinuous" vertical="center"/>
      <protection/>
    </xf>
    <xf numFmtId="0" fontId="10" fillId="0" borderId="0" xfId="55" applyFont="1" applyBorder="1" applyAlignment="1" applyProtection="1" quotePrefix="1">
      <alignment horizontal="centerContinuous" vertical="center"/>
      <protection/>
    </xf>
    <xf numFmtId="0" fontId="7" fillId="0" borderId="0" xfId="55" applyFont="1" applyBorder="1" applyAlignment="1" applyProtection="1">
      <alignment horizontal="centerContinuous" vertical="center"/>
      <protection/>
    </xf>
    <xf numFmtId="0" fontId="8" fillId="0" borderId="0" xfId="55" applyFont="1" applyBorder="1" applyAlignment="1" applyProtection="1">
      <alignment horizontal="centerContinuous" vertical="center"/>
      <protection/>
    </xf>
    <xf numFmtId="174" fontId="7" fillId="0" borderId="0" xfId="42" applyNumberFormat="1" applyFont="1" applyBorder="1" applyAlignment="1" applyProtection="1" quotePrefix="1">
      <alignment horizontal="centerContinuous" vertical="center"/>
      <protection/>
    </xf>
    <xf numFmtId="0" fontId="6" fillId="0" borderId="0" xfId="55" applyFont="1" applyBorder="1" applyAlignment="1" applyProtection="1">
      <alignment horizontal="centerContinuous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 quotePrefix="1">
      <alignment horizontal="center" vertical="center"/>
      <protection/>
    </xf>
    <xf numFmtId="0" fontId="6" fillId="0" borderId="0" xfId="55" applyNumberFormat="1" applyFont="1" applyBorder="1" applyAlignment="1" applyProtection="1" quotePrefix="1">
      <alignment horizontal="right" vertical="center"/>
      <protection/>
    </xf>
    <xf numFmtId="0" fontId="6" fillId="0" borderId="0" xfId="55" applyFont="1" applyBorder="1" applyAlignment="1" applyProtection="1" quotePrefix="1">
      <alignment horizontal="centerContinuous" vertical="center"/>
      <protection/>
    </xf>
    <xf numFmtId="174" fontId="8" fillId="0" borderId="0" xfId="42" applyNumberFormat="1" applyFont="1" applyBorder="1" applyAlignment="1" applyProtection="1">
      <alignment horizontal="centerContinuous" vertical="center"/>
      <protection/>
    </xf>
    <xf numFmtId="0" fontId="6" fillId="0" borderId="0" xfId="55" applyNumberFormat="1" applyFont="1" applyBorder="1" applyAlignment="1" applyProtection="1">
      <alignment horizontal="centerContinuous" vertical="center"/>
      <protection/>
    </xf>
    <xf numFmtId="174" fontId="8" fillId="0" borderId="0" xfId="42" applyNumberFormat="1" applyFont="1" applyBorder="1" applyAlignment="1" applyProtection="1" quotePrefix="1">
      <alignment horizontal="centerContinuous" vertical="center"/>
      <protection/>
    </xf>
    <xf numFmtId="0" fontId="6" fillId="0" borderId="0" xfId="55" applyFont="1" applyBorder="1" applyAlignment="1" applyProtection="1">
      <alignment horizontal="right" vertical="center"/>
      <protection/>
    </xf>
    <xf numFmtId="0" fontId="6" fillId="0" borderId="0" xfId="55" applyFont="1" applyBorder="1" applyAlignment="1" applyProtection="1" quotePrefix="1">
      <alignment horizontal="right" vertical="center"/>
      <protection/>
    </xf>
    <xf numFmtId="4" fontId="1" fillId="33" borderId="0" xfId="0" applyNumberFormat="1" applyFont="1" applyFill="1" applyAlignment="1" applyProtection="1">
      <alignment horizontal="right"/>
      <protection locked="0"/>
    </xf>
    <xf numFmtId="0" fontId="0" fillId="0" borderId="0" xfId="0" applyAlignment="1" quotePrefix="1">
      <alignment horizontal="left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7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right"/>
    </xf>
    <xf numFmtId="0" fontId="17" fillId="0" borderId="0" xfId="0" applyFont="1" applyAlignment="1">
      <alignment horizontal="right"/>
    </xf>
    <xf numFmtId="0" fontId="6" fillId="0" borderId="28" xfId="55" applyFont="1" applyBorder="1" applyAlignment="1" applyProtection="1">
      <alignment horizontal="center" vertical="center"/>
      <protection/>
    </xf>
    <xf numFmtId="0" fontId="6" fillId="0" borderId="27" xfId="55" applyFont="1" applyBorder="1" applyAlignment="1" applyProtection="1">
      <alignment horizontal="center" vertical="center"/>
      <protection/>
    </xf>
    <xf numFmtId="0" fontId="6" fillId="0" borderId="31" xfId="55" applyFont="1" applyBorder="1" applyAlignment="1" applyProtection="1">
      <alignment horizontal="center" vertical="center"/>
      <protection/>
    </xf>
    <xf numFmtId="0" fontId="6" fillId="0" borderId="32" xfId="55" applyFont="1" applyBorder="1" applyAlignment="1" applyProtection="1">
      <alignment horizontal="left" vertical="center"/>
      <protection/>
    </xf>
    <xf numFmtId="0" fontId="6" fillId="0" borderId="12" xfId="55" applyFont="1" applyBorder="1" applyAlignment="1" applyProtection="1">
      <alignment horizontal="left" vertical="center"/>
      <protection/>
    </xf>
    <xf numFmtId="0" fontId="6" fillId="0" borderId="32" xfId="55" applyFont="1" applyBorder="1" applyAlignment="1" applyProtection="1" quotePrefix="1">
      <alignment horizontal="left" vertical="center"/>
      <protection/>
    </xf>
    <xf numFmtId="0" fontId="6" fillId="0" borderId="12" xfId="55" applyFont="1" applyBorder="1" applyAlignment="1" applyProtection="1" quotePrefix="1">
      <alignment horizontal="left" vertical="center"/>
      <protection/>
    </xf>
    <xf numFmtId="0" fontId="6" fillId="0" borderId="33" xfId="55" applyFont="1" applyBorder="1" applyAlignment="1" applyProtection="1" quotePrefix="1">
      <alignment horizontal="left" vertical="center"/>
      <protection/>
    </xf>
    <xf numFmtId="0" fontId="6" fillId="0" borderId="22" xfId="55" applyFont="1" applyBorder="1" applyAlignment="1" applyProtection="1" quotePrefix="1">
      <alignment horizontal="left" vertical="center"/>
      <protection/>
    </xf>
    <xf numFmtId="0" fontId="1" fillId="34" borderId="13" xfId="55" applyFont="1" applyFill="1" applyBorder="1" applyAlignment="1" applyProtection="1">
      <alignment horizontal="center" vertical="center"/>
      <protection locked="0"/>
    </xf>
    <xf numFmtId="0" fontId="6" fillId="0" borderId="34" xfId="55" applyFont="1" applyBorder="1" applyAlignment="1" applyProtection="1" quotePrefix="1">
      <alignment horizontal="left" vertical="center"/>
      <protection/>
    </xf>
    <xf numFmtId="0" fontId="6" fillId="0" borderId="13" xfId="55" applyFont="1" applyBorder="1" applyAlignment="1" applyProtection="1" quotePrefix="1">
      <alignment horizontal="left" vertical="center"/>
      <protection/>
    </xf>
    <xf numFmtId="0" fontId="6" fillId="0" borderId="13" xfId="55" applyFont="1" applyBorder="1" applyAlignment="1" applyProtection="1" quotePrefix="1">
      <alignment horizontal="center" vertical="center"/>
      <protection/>
    </xf>
    <xf numFmtId="0" fontId="7" fillId="35" borderId="12" xfId="55" applyFont="1" applyFill="1" applyBorder="1" applyAlignment="1" applyProtection="1">
      <alignment horizontal="center" vertical="center"/>
      <protection locked="0"/>
    </xf>
    <xf numFmtId="0" fontId="7" fillId="35" borderId="35" xfId="55" applyFont="1" applyFill="1" applyBorder="1" applyAlignment="1" applyProtection="1">
      <alignment horizontal="center" vertical="center"/>
      <protection locked="0"/>
    </xf>
    <xf numFmtId="0" fontId="6" fillId="0" borderId="32" xfId="55" applyFont="1" applyBorder="1" applyAlignment="1" applyProtection="1" quotePrefix="1">
      <alignment horizontal="left" vertical="center"/>
      <protection/>
    </xf>
    <xf numFmtId="0" fontId="6" fillId="0" borderId="12" xfId="55" applyFont="1" applyBorder="1" applyAlignment="1" applyProtection="1" quotePrefix="1">
      <alignment horizontal="left" vertical="center"/>
      <protection/>
    </xf>
    <xf numFmtId="174" fontId="8" fillId="0" borderId="36" xfId="42" applyNumberFormat="1" applyFont="1" applyBorder="1" applyAlignment="1" applyProtection="1">
      <alignment horizontal="center" vertical="center"/>
      <protection locked="0"/>
    </xf>
    <xf numFmtId="174" fontId="8" fillId="0" borderId="12" xfId="42" applyNumberFormat="1" applyFont="1" applyBorder="1" applyAlignment="1" applyProtection="1">
      <alignment horizontal="center" vertical="center"/>
      <protection locked="0"/>
    </xf>
    <xf numFmtId="174" fontId="8" fillId="0" borderId="35" xfId="42" applyNumberFormat="1" applyFont="1" applyBorder="1" applyAlignment="1" applyProtection="1">
      <alignment horizontal="center" vertical="center"/>
      <protection locked="0"/>
    </xf>
    <xf numFmtId="0" fontId="8" fillId="0" borderId="36" xfId="55" applyFont="1" applyBorder="1" applyAlignment="1" applyProtection="1">
      <alignment horizontal="center" vertical="center"/>
      <protection locked="0"/>
    </xf>
    <xf numFmtId="0" fontId="0" fillId="0" borderId="12" xfId="55" applyBorder="1" applyAlignment="1" applyProtection="1">
      <alignment vertical="center"/>
      <protection locked="0"/>
    </xf>
    <xf numFmtId="0" fontId="0" fillId="0" borderId="24" xfId="55" applyBorder="1" applyAlignment="1" applyProtection="1">
      <alignment vertical="center"/>
      <protection locked="0"/>
    </xf>
    <xf numFmtId="0" fontId="10" fillId="0" borderId="36" xfId="55" applyFont="1" applyFill="1" applyBorder="1" applyAlignment="1" applyProtection="1">
      <alignment horizontal="center" vertical="center"/>
      <protection locked="0"/>
    </xf>
    <xf numFmtId="0" fontId="1" fillId="0" borderId="12" xfId="55" applyFont="1" applyFill="1" applyBorder="1" applyAlignment="1" applyProtection="1">
      <alignment horizontal="center" vertical="center"/>
      <protection locked="0"/>
    </xf>
    <xf numFmtId="0" fontId="1" fillId="0" borderId="35" xfId="55" applyFont="1" applyFill="1" applyBorder="1" applyAlignment="1" applyProtection="1">
      <alignment horizontal="center" vertical="center"/>
      <protection locked="0"/>
    </xf>
    <xf numFmtId="0" fontId="6" fillId="35" borderId="36" xfId="55" applyFont="1" applyFill="1" applyBorder="1" applyAlignment="1" applyProtection="1" quotePrefix="1">
      <alignment horizontal="center" vertical="center"/>
      <protection locked="0"/>
    </xf>
    <xf numFmtId="0" fontId="6" fillId="35" borderId="12" xfId="55" applyFont="1" applyFill="1" applyBorder="1" applyAlignment="1" applyProtection="1" quotePrefix="1">
      <alignment horizontal="center" vertical="center"/>
      <protection locked="0"/>
    </xf>
    <xf numFmtId="0" fontId="6" fillId="35" borderId="24" xfId="55" applyFont="1" applyFill="1" applyBorder="1" applyAlignment="1" applyProtection="1" quotePrefix="1">
      <alignment horizontal="center" vertical="center"/>
      <protection locked="0"/>
    </xf>
    <xf numFmtId="2" fontId="6" fillId="35" borderId="36" xfId="55" applyNumberFormat="1" applyFont="1" applyFill="1" applyBorder="1" applyAlignment="1" applyProtection="1">
      <alignment horizontal="center" vertical="center"/>
      <protection locked="0"/>
    </xf>
    <xf numFmtId="2" fontId="6" fillId="35" borderId="12" xfId="55" applyNumberFormat="1" applyFont="1" applyFill="1" applyBorder="1" applyAlignment="1" applyProtection="1">
      <alignment horizontal="center" vertical="center"/>
      <protection locked="0"/>
    </xf>
    <xf numFmtId="2" fontId="6" fillId="35" borderId="35" xfId="55" applyNumberFormat="1" applyFont="1" applyFill="1" applyBorder="1" applyAlignment="1" applyProtection="1">
      <alignment horizontal="center" vertical="center"/>
      <protection locked="0"/>
    </xf>
    <xf numFmtId="2" fontId="10" fillId="35" borderId="36" xfId="55" applyNumberFormat="1" applyFont="1" applyFill="1" applyBorder="1" applyAlignment="1" applyProtection="1">
      <alignment horizontal="center" vertical="center"/>
      <protection locked="0"/>
    </xf>
    <xf numFmtId="2" fontId="10" fillId="35" borderId="12" xfId="55" applyNumberFormat="1" applyFont="1" applyFill="1" applyBorder="1" applyAlignment="1" applyProtection="1">
      <alignment horizontal="center" vertical="center"/>
      <protection locked="0"/>
    </xf>
    <xf numFmtId="2" fontId="10" fillId="35" borderId="24" xfId="55" applyNumberFormat="1" applyFont="1" applyFill="1" applyBorder="1" applyAlignment="1" applyProtection="1">
      <alignment horizontal="center" vertical="center"/>
      <protection locked="0"/>
    </xf>
    <xf numFmtId="0" fontId="6" fillId="0" borderId="37" xfId="55" applyFont="1" applyBorder="1" applyAlignment="1" applyProtection="1">
      <alignment horizontal="center" vertical="center"/>
      <protection locked="0"/>
    </xf>
    <xf numFmtId="0" fontId="6" fillId="0" borderId="20" xfId="55" applyFont="1" applyBorder="1" applyAlignment="1" applyProtection="1">
      <alignment horizontal="center" vertical="center"/>
      <protection locked="0"/>
    </xf>
    <xf numFmtId="0" fontId="1" fillId="0" borderId="26" xfId="55" applyFont="1" applyBorder="1" applyAlignment="1" applyProtection="1">
      <alignment horizontal="center" vertical="center"/>
      <protection/>
    </xf>
    <xf numFmtId="0" fontId="1" fillId="0" borderId="27" xfId="55" applyFont="1" applyBorder="1" applyAlignment="1" applyProtection="1">
      <alignment horizontal="center" vertical="center"/>
      <protection/>
    </xf>
    <xf numFmtId="0" fontId="1" fillId="0" borderId="31" xfId="55" applyFont="1" applyBorder="1" applyAlignment="1" applyProtection="1">
      <alignment horizontal="center" vertical="center"/>
      <protection/>
    </xf>
    <xf numFmtId="0" fontId="10" fillId="0" borderId="12" xfId="55" applyFont="1" applyBorder="1" applyAlignment="1" applyProtection="1">
      <alignment horizontal="center" vertical="center"/>
      <protection/>
    </xf>
    <xf numFmtId="0" fontId="6" fillId="0" borderId="13" xfId="55" applyFont="1" applyBorder="1" applyAlignment="1" applyProtection="1">
      <alignment horizontal="left"/>
      <protection locked="0"/>
    </xf>
    <xf numFmtId="0" fontId="6" fillId="0" borderId="38" xfId="55" applyFont="1" applyBorder="1" applyAlignment="1" applyProtection="1">
      <alignment horizontal="left"/>
      <protection locked="0"/>
    </xf>
    <xf numFmtId="0" fontId="6" fillId="0" borderId="22" xfId="55" applyFont="1" applyBorder="1" applyAlignment="1" applyProtection="1">
      <alignment horizontal="left" vertical="center"/>
      <protection locked="0"/>
    </xf>
    <xf numFmtId="0" fontId="6" fillId="0" borderId="39" xfId="55" applyFont="1" applyBorder="1" applyAlignment="1" applyProtection="1">
      <alignment horizontal="left" vertical="center"/>
      <protection locked="0"/>
    </xf>
    <xf numFmtId="0" fontId="6" fillId="0" borderId="12" xfId="55" applyFont="1" applyBorder="1" applyAlignment="1" applyProtection="1">
      <alignment horizontal="left" vertical="center"/>
      <protection/>
    </xf>
    <xf numFmtId="0" fontId="6" fillId="0" borderId="24" xfId="55" applyFont="1" applyBorder="1" applyAlignment="1" applyProtection="1">
      <alignment horizontal="left" vertical="center"/>
      <protection/>
    </xf>
    <xf numFmtId="0" fontId="6" fillId="0" borderId="34" xfId="55" applyFont="1" applyBorder="1" applyAlignment="1" applyProtection="1" quotePrefix="1">
      <alignment horizontal="left"/>
      <protection/>
    </xf>
    <xf numFmtId="0" fontId="6" fillId="0" borderId="13" xfId="55" applyFont="1" applyBorder="1" applyAlignment="1" applyProtection="1" quotePrefix="1">
      <alignment horizontal="left"/>
      <protection/>
    </xf>
    <xf numFmtId="0" fontId="6" fillId="0" borderId="33" xfId="55" applyFont="1" applyBorder="1" applyAlignment="1" applyProtection="1">
      <alignment horizontal="left" vertical="center"/>
      <protection/>
    </xf>
    <xf numFmtId="0" fontId="6" fillId="0" borderId="22" xfId="55" applyFont="1" applyBorder="1" applyAlignment="1" applyProtection="1">
      <alignment horizontal="left" vertical="center"/>
      <protection/>
    </xf>
    <xf numFmtId="4" fontId="7" fillId="0" borderId="22" xfId="55" applyNumberFormat="1" applyFont="1" applyFill="1" applyBorder="1" applyAlignment="1" applyProtection="1">
      <alignment horizontal="center" vertical="center"/>
      <protection/>
    </xf>
    <xf numFmtId="0" fontId="6" fillId="0" borderId="40" xfId="55" applyFont="1" applyBorder="1" applyAlignment="1" applyProtection="1" quotePrefix="1">
      <alignment horizontal="left" vertical="center"/>
      <protection/>
    </xf>
    <xf numFmtId="0" fontId="6" fillId="35" borderId="36" xfId="55" applyFont="1" applyFill="1" applyBorder="1" applyAlignment="1" applyProtection="1">
      <alignment horizontal="center" vertical="center"/>
      <protection locked="0"/>
    </xf>
    <xf numFmtId="0" fontId="6" fillId="35" borderId="35" xfId="55" applyFont="1" applyFill="1" applyBorder="1" applyAlignment="1" applyProtection="1">
      <alignment horizontal="center" vertical="center"/>
      <protection locked="0"/>
    </xf>
    <xf numFmtId="0" fontId="6" fillId="0" borderId="36" xfId="55" applyFont="1" applyBorder="1" applyAlignment="1" applyProtection="1" quotePrefix="1">
      <alignment horizontal="left" vertical="center"/>
      <protection/>
    </xf>
    <xf numFmtId="0" fontId="6" fillId="0" borderId="13" xfId="55" applyFont="1" applyBorder="1" applyAlignment="1" applyProtection="1">
      <alignment horizontal="left" vertical="center"/>
      <protection locked="0"/>
    </xf>
    <xf numFmtId="0" fontId="6" fillId="0" borderId="41" xfId="55" applyFont="1" applyBorder="1" applyAlignment="1" applyProtection="1">
      <alignment horizontal="left" vertical="center"/>
      <protection locked="0"/>
    </xf>
    <xf numFmtId="0" fontId="6" fillId="0" borderId="36" xfId="55" applyFont="1" applyBorder="1" applyAlignment="1" applyProtection="1">
      <alignment horizontal="center" vertical="center"/>
      <protection/>
    </xf>
    <xf numFmtId="0" fontId="6" fillId="0" borderId="12" xfId="55" applyFont="1" applyBorder="1" applyAlignment="1" applyProtection="1">
      <alignment horizontal="center" vertical="center"/>
      <protection/>
    </xf>
    <xf numFmtId="0" fontId="6" fillId="0" borderId="35" xfId="55" applyFont="1" applyBorder="1" applyAlignment="1" applyProtection="1">
      <alignment horizontal="center" vertical="center"/>
      <protection/>
    </xf>
    <xf numFmtId="0" fontId="1" fillId="35" borderId="13" xfId="55" applyFont="1" applyFill="1" applyBorder="1" applyAlignment="1" applyProtection="1">
      <alignment horizontal="center" vertical="center"/>
      <protection locked="0"/>
    </xf>
    <xf numFmtId="0" fontId="1" fillId="35" borderId="38" xfId="55" applyFont="1" applyFill="1" applyBorder="1" applyAlignment="1" applyProtection="1">
      <alignment horizontal="center" vertical="center"/>
      <protection locked="0"/>
    </xf>
    <xf numFmtId="0" fontId="6" fillId="0" borderId="32" xfId="55" applyFont="1" applyFill="1" applyBorder="1" applyAlignment="1" applyProtection="1">
      <alignment horizontal="center" vertical="center"/>
      <protection locked="0"/>
    </xf>
    <xf numFmtId="0" fontId="6" fillId="0" borderId="35" xfId="55" applyFont="1" applyFill="1" applyBorder="1" applyAlignment="1" applyProtection="1">
      <alignment horizontal="center" vertical="center"/>
      <protection locked="0"/>
    </xf>
    <xf numFmtId="0" fontId="6" fillId="35" borderId="12" xfId="55" applyFont="1" applyFill="1" applyBorder="1" applyAlignment="1" applyProtection="1">
      <alignment horizontal="left" vertical="center"/>
      <protection locked="0"/>
    </xf>
    <xf numFmtId="0" fontId="6" fillId="35" borderId="24" xfId="55" applyFont="1" applyFill="1" applyBorder="1" applyAlignment="1" applyProtection="1">
      <alignment horizontal="left" vertical="center"/>
      <protection locked="0"/>
    </xf>
    <xf numFmtId="0" fontId="1" fillId="35" borderId="22" xfId="55" applyFont="1" applyFill="1" applyBorder="1" applyAlignment="1" applyProtection="1">
      <alignment horizontal="center" vertical="center"/>
      <protection locked="0"/>
    </xf>
    <xf numFmtId="0" fontId="1" fillId="35" borderId="23" xfId="55" applyFont="1" applyFill="1" applyBorder="1" applyAlignment="1" applyProtection="1">
      <alignment horizontal="center" vertical="center"/>
      <protection locked="0"/>
    </xf>
    <xf numFmtId="0" fontId="6" fillId="35" borderId="13" xfId="55" applyFont="1" applyFill="1" applyBorder="1" applyAlignment="1" applyProtection="1">
      <alignment horizontal="left" vertical="center"/>
      <protection locked="0"/>
    </xf>
    <xf numFmtId="0" fontId="6" fillId="35" borderId="41" xfId="55" applyFont="1" applyFill="1" applyBorder="1" applyAlignment="1" applyProtection="1">
      <alignment horizontal="left" vertical="center"/>
      <protection locked="0"/>
    </xf>
    <xf numFmtId="0" fontId="6" fillId="0" borderId="40" xfId="55" applyFont="1" applyBorder="1" applyAlignment="1" applyProtection="1">
      <alignment horizontal="left" vertical="center"/>
      <protection/>
    </xf>
    <xf numFmtId="0" fontId="6" fillId="0" borderId="36" xfId="55" applyFont="1" applyBorder="1" applyAlignment="1" applyProtection="1" quotePrefix="1">
      <alignment horizontal="center" vertical="center"/>
      <protection/>
    </xf>
    <xf numFmtId="0" fontId="6" fillId="0" borderId="12" xfId="55" applyFont="1" applyBorder="1" applyAlignment="1" applyProtection="1" quotePrefix="1">
      <alignment horizontal="center" vertical="center"/>
      <protection/>
    </xf>
    <xf numFmtId="0" fontId="6" fillId="0" borderId="42" xfId="55" applyFont="1" applyBorder="1" applyAlignment="1" applyProtection="1">
      <alignment horizontal="left" vertical="center"/>
      <protection/>
    </xf>
    <xf numFmtId="0" fontId="6" fillId="0" borderId="13" xfId="55" applyFont="1" applyBorder="1" applyAlignment="1" applyProtection="1">
      <alignment horizontal="left" vertical="center"/>
      <protection/>
    </xf>
    <xf numFmtId="0" fontId="1" fillId="35" borderId="22" xfId="55" applyFont="1" applyFill="1" applyBorder="1" applyAlignment="1" applyProtection="1" quotePrefix="1">
      <alignment horizontal="center" vertical="center"/>
      <protection locked="0"/>
    </xf>
    <xf numFmtId="0" fontId="1" fillId="35" borderId="39" xfId="55" applyFont="1" applyFill="1" applyBorder="1" applyAlignment="1" applyProtection="1">
      <alignment horizontal="center" vertical="center"/>
      <protection locked="0"/>
    </xf>
    <xf numFmtId="0" fontId="1" fillId="35" borderId="12" xfId="55" applyFont="1" applyFill="1" applyBorder="1" applyAlignment="1" applyProtection="1">
      <alignment horizontal="center" vertical="center"/>
      <protection locked="0"/>
    </xf>
    <xf numFmtId="0" fontId="1" fillId="35" borderId="35" xfId="55" applyFont="1" applyFill="1" applyBorder="1" applyAlignment="1" applyProtection="1">
      <alignment horizontal="center" vertical="center"/>
      <protection locked="0"/>
    </xf>
    <xf numFmtId="0" fontId="8" fillId="0" borderId="40" xfId="55" applyFont="1" applyBorder="1" applyAlignment="1" applyProtection="1">
      <alignment horizontal="center" vertical="center"/>
      <protection/>
    </xf>
    <xf numFmtId="0" fontId="8" fillId="0" borderId="22" xfId="55" applyFont="1" applyBorder="1" applyAlignment="1" applyProtection="1">
      <alignment horizontal="center" vertical="center"/>
      <protection/>
    </xf>
    <xf numFmtId="0" fontId="8" fillId="0" borderId="23" xfId="55" applyFont="1" applyBorder="1" applyAlignment="1" applyProtection="1">
      <alignment horizontal="center" vertical="center"/>
      <protection/>
    </xf>
    <xf numFmtId="0" fontId="6" fillId="0" borderId="22" xfId="55" applyFont="1" applyBorder="1" applyAlignment="1" applyProtection="1">
      <alignment horizontal="center" vertical="center"/>
      <protection/>
    </xf>
    <xf numFmtId="0" fontId="7" fillId="35" borderId="36" xfId="55" applyFont="1" applyFill="1" applyBorder="1" applyAlignment="1" applyProtection="1">
      <alignment horizontal="center" vertical="center"/>
      <protection locked="0"/>
    </xf>
    <xf numFmtId="0" fontId="6" fillId="0" borderId="23" xfId="55" applyFont="1" applyBorder="1" applyAlignment="1" applyProtection="1">
      <alignment horizontal="left" vertical="center"/>
      <protection locked="0"/>
    </xf>
    <xf numFmtId="0" fontId="10" fillId="0" borderId="22" xfId="55" applyFont="1" applyBorder="1" applyAlignment="1" applyProtection="1">
      <alignment horizontal="center" vertical="center"/>
      <protection/>
    </xf>
    <xf numFmtId="0" fontId="6" fillId="0" borderId="24" xfId="55" applyFont="1" applyBorder="1" applyAlignment="1" applyProtection="1" quotePrefix="1">
      <alignment horizontal="center" vertical="center"/>
      <protection/>
    </xf>
    <xf numFmtId="0" fontId="10" fillId="35" borderId="12" xfId="55" applyFont="1" applyFill="1" applyBorder="1" applyAlignment="1" applyProtection="1">
      <alignment horizontal="center" vertical="center"/>
      <protection/>
    </xf>
    <xf numFmtId="0" fontId="6" fillId="35" borderId="12" xfId="55" applyFont="1" applyFill="1" applyBorder="1" applyAlignment="1" applyProtection="1">
      <alignment horizontal="center" vertical="center"/>
      <protection locked="0"/>
    </xf>
    <xf numFmtId="0" fontId="6" fillId="0" borderId="32" xfId="55" applyFont="1" applyBorder="1" applyAlignment="1" applyProtection="1">
      <alignment horizontal="left" vertical="center"/>
      <protection/>
    </xf>
    <xf numFmtId="0" fontId="6" fillId="0" borderId="35" xfId="55" applyFont="1" applyBorder="1" applyAlignment="1" applyProtection="1">
      <alignment horizontal="left" vertical="center"/>
      <protection/>
    </xf>
    <xf numFmtId="0" fontId="6" fillId="35" borderId="36" xfId="55" applyFont="1" applyFill="1" applyBorder="1" applyAlignment="1" applyProtection="1">
      <alignment horizontal="left" vertical="center"/>
      <protection locked="0"/>
    </xf>
    <xf numFmtId="0" fontId="0" fillId="35" borderId="12" xfId="55" applyFill="1" applyBorder="1" applyAlignment="1" applyProtection="1">
      <alignment horizontal="left" vertical="center"/>
      <protection locked="0"/>
    </xf>
    <xf numFmtId="0" fontId="0" fillId="35" borderId="35" xfId="55" applyFill="1" applyBorder="1" applyAlignment="1" applyProtection="1">
      <alignment horizontal="left" vertical="center"/>
      <protection locked="0"/>
    </xf>
    <xf numFmtId="0" fontId="6" fillId="0" borderId="36" xfId="55" applyFont="1" applyBorder="1" applyAlignment="1" applyProtection="1">
      <alignment horizontal="left" vertical="center"/>
      <protection locked="0"/>
    </xf>
    <xf numFmtId="0" fontId="0" fillId="0" borderId="12" xfId="55" applyBorder="1" applyAlignment="1" applyProtection="1">
      <alignment horizontal="left" vertical="center"/>
      <protection locked="0"/>
    </xf>
    <xf numFmtId="0" fontId="0" fillId="0" borderId="35" xfId="55" applyBorder="1" applyAlignment="1" applyProtection="1">
      <alignment horizontal="left" vertical="center"/>
      <protection locked="0"/>
    </xf>
    <xf numFmtId="0" fontId="6" fillId="35" borderId="13" xfId="55" applyFont="1" applyFill="1" applyBorder="1" applyAlignment="1" applyProtection="1">
      <alignment horizontal="center" vertical="center"/>
      <protection locked="0"/>
    </xf>
    <xf numFmtId="0" fontId="6" fillId="35" borderId="41" xfId="55" applyFont="1" applyFill="1" applyBorder="1" applyAlignment="1" applyProtection="1">
      <alignment horizontal="center" vertical="center"/>
      <protection locked="0"/>
    </xf>
    <xf numFmtId="177" fontId="10" fillId="0" borderId="36" xfId="55" applyNumberFormat="1" applyFont="1" applyFill="1" applyBorder="1" applyAlignment="1" applyProtection="1">
      <alignment horizontal="center" vertical="center"/>
      <protection locked="0"/>
    </xf>
    <xf numFmtId="177" fontId="10" fillId="0" borderId="12" xfId="55" applyNumberFormat="1" applyFont="1" applyFill="1" applyBorder="1" applyAlignment="1" applyProtection="1">
      <alignment horizontal="center" vertical="center"/>
      <protection locked="0"/>
    </xf>
    <xf numFmtId="177" fontId="10" fillId="0" borderId="35" xfId="55" applyNumberFormat="1" applyFont="1" applyFill="1" applyBorder="1" applyAlignment="1" applyProtection="1">
      <alignment horizontal="center" vertical="center"/>
      <protection locked="0"/>
    </xf>
    <xf numFmtId="0" fontId="6" fillId="0" borderId="36" xfId="55" applyFont="1" applyBorder="1" applyAlignment="1" applyProtection="1">
      <alignment horizontal="center" vertical="center"/>
      <protection locked="0"/>
    </xf>
    <xf numFmtId="0" fontId="6" fillId="0" borderId="12" xfId="55" applyFont="1" applyBorder="1" applyAlignment="1" applyProtection="1">
      <alignment horizontal="center" vertical="center"/>
      <protection locked="0"/>
    </xf>
    <xf numFmtId="0" fontId="6" fillId="0" borderId="35" xfId="55" applyFont="1" applyBorder="1" applyAlignment="1" applyProtection="1">
      <alignment horizontal="center" vertical="center"/>
      <protection locked="0"/>
    </xf>
    <xf numFmtId="0" fontId="6" fillId="0" borderId="36" xfId="55" applyFont="1" applyBorder="1" applyAlignment="1" applyProtection="1" quotePrefix="1">
      <alignment horizontal="center" vertical="center"/>
      <protection locked="0"/>
    </xf>
    <xf numFmtId="0" fontId="6" fillId="0" borderId="12" xfId="55" applyFont="1" applyBorder="1" applyAlignment="1" applyProtection="1" quotePrefix="1">
      <alignment horizontal="center" vertical="center"/>
      <protection locked="0"/>
    </xf>
    <xf numFmtId="0" fontId="6" fillId="0" borderId="24" xfId="55" applyFont="1" applyBorder="1" applyAlignment="1" applyProtection="1" quotePrefix="1">
      <alignment horizontal="center" vertical="center"/>
      <protection locked="0"/>
    </xf>
    <xf numFmtId="0" fontId="6" fillId="0" borderId="13" xfId="55" applyFont="1" applyBorder="1" applyAlignment="1" applyProtection="1" quotePrefix="1">
      <alignment horizontal="center" vertical="center"/>
      <protection/>
    </xf>
    <xf numFmtId="0" fontId="6" fillId="35" borderId="42" xfId="55" applyFont="1" applyFill="1" applyBorder="1" applyAlignment="1" applyProtection="1">
      <alignment horizontal="center" vertical="center"/>
      <protection locked="0"/>
    </xf>
    <xf numFmtId="0" fontId="6" fillId="35" borderId="38" xfId="55" applyFont="1" applyFill="1" applyBorder="1" applyAlignment="1" applyProtection="1">
      <alignment horizontal="center" vertical="center"/>
      <protection locked="0"/>
    </xf>
    <xf numFmtId="0" fontId="6" fillId="0" borderId="34" xfId="55" applyFont="1" applyBorder="1" applyAlignment="1" applyProtection="1">
      <alignment horizontal="center" vertical="center"/>
      <protection locked="0"/>
    </xf>
    <xf numFmtId="0" fontId="6" fillId="0" borderId="38" xfId="55" applyFont="1" applyBorder="1" applyAlignment="1" applyProtection="1">
      <alignment horizontal="center" vertical="center"/>
      <protection locked="0"/>
    </xf>
    <xf numFmtId="0" fontId="6" fillId="0" borderId="42" xfId="55" applyFont="1" applyBorder="1" applyAlignment="1" applyProtection="1">
      <alignment horizontal="center" vertical="center"/>
      <protection/>
    </xf>
    <xf numFmtId="0" fontId="6" fillId="0" borderId="13" xfId="55" applyFont="1" applyBorder="1" applyAlignment="1" applyProtection="1">
      <alignment horizontal="center" vertical="center"/>
      <protection/>
    </xf>
    <xf numFmtId="0" fontId="6" fillId="0" borderId="38" xfId="55" applyFont="1" applyBorder="1" applyAlignment="1" applyProtection="1">
      <alignment horizontal="center" vertical="center"/>
      <protection/>
    </xf>
    <xf numFmtId="0" fontId="6" fillId="0" borderId="32" xfId="55" applyFont="1" applyBorder="1" applyAlignment="1" applyProtection="1">
      <alignment horizontal="center" vertical="center"/>
      <protection locked="0"/>
    </xf>
    <xf numFmtId="49" fontId="10" fillId="0" borderId="13" xfId="55" applyNumberFormat="1" applyFont="1" applyBorder="1" applyAlignment="1" applyProtection="1">
      <alignment horizontal="center" vertical="center"/>
      <protection/>
    </xf>
    <xf numFmtId="0" fontId="10" fillId="0" borderId="43" xfId="55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0" fontId="10" fillId="0" borderId="44" xfId="55" applyFont="1" applyBorder="1" applyAlignment="1" applyProtection="1">
      <alignment horizontal="center" vertical="center"/>
      <protection/>
    </xf>
    <xf numFmtId="0" fontId="7" fillId="35" borderId="45" xfId="0" applyFont="1" applyFill="1" applyBorder="1" applyAlignment="1" applyProtection="1">
      <alignment horizontal="center" vertical="center"/>
      <protection locked="0"/>
    </xf>
    <xf numFmtId="0" fontId="7" fillId="35" borderId="46" xfId="0" applyFont="1" applyFill="1" applyBorder="1" applyAlignment="1" applyProtection="1">
      <alignment horizontal="center" vertical="center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7" fillId="35" borderId="24" xfId="0" applyFont="1" applyFill="1" applyBorder="1" applyAlignment="1" applyProtection="1">
      <alignment horizontal="center" vertical="center"/>
      <protection locked="0"/>
    </xf>
    <xf numFmtId="0" fontId="10" fillId="0" borderId="47" xfId="55" applyFont="1" applyBorder="1" applyAlignment="1" applyProtection="1">
      <alignment horizontal="center" vertical="center"/>
      <protection/>
    </xf>
    <xf numFmtId="0" fontId="1" fillId="0" borderId="36" xfId="55" applyFont="1" applyBorder="1" applyAlignment="1" applyProtection="1" quotePrefix="1">
      <alignment horizontal="center" vertical="center"/>
      <protection locked="0"/>
    </xf>
    <xf numFmtId="0" fontId="1" fillId="0" borderId="12" xfId="55" applyFont="1" applyBorder="1" applyAlignment="1" applyProtection="1" quotePrefix="1">
      <alignment horizontal="center" vertical="center"/>
      <protection locked="0"/>
    </xf>
    <xf numFmtId="0" fontId="1" fillId="0" borderId="35" xfId="55" applyFont="1" applyBorder="1" applyAlignment="1" applyProtection="1" quotePrefix="1">
      <alignment horizontal="center" vertical="center"/>
      <protection locked="0"/>
    </xf>
    <xf numFmtId="0" fontId="6" fillId="0" borderId="35" xfId="55" applyFont="1" applyBorder="1" applyAlignment="1" applyProtection="1" quotePrefix="1">
      <alignment horizontal="left" vertical="center"/>
      <protection/>
    </xf>
    <xf numFmtId="0" fontId="0" fillId="0" borderId="0" xfId="55" applyFont="1" applyAlignment="1" applyProtection="1">
      <alignment horizontal="center"/>
      <protection/>
    </xf>
    <xf numFmtId="0" fontId="0" fillId="0" borderId="0" xfId="55" applyAlignment="1" applyProtection="1">
      <alignment horizontal="center"/>
      <protection/>
    </xf>
    <xf numFmtId="0" fontId="6" fillId="35" borderId="24" xfId="55" applyFont="1" applyFill="1" applyBorder="1" applyAlignment="1" applyProtection="1">
      <alignment horizontal="center" vertical="center"/>
      <protection locked="0"/>
    </xf>
    <xf numFmtId="0" fontId="6" fillId="0" borderId="24" xfId="55" applyFont="1" applyBorder="1" applyAlignment="1" applyProtection="1">
      <alignment horizontal="center" vertical="center"/>
      <protection/>
    </xf>
    <xf numFmtId="0" fontId="1" fillId="35" borderId="12" xfId="55" applyFont="1" applyFill="1" applyBorder="1" applyAlignment="1" applyProtection="1">
      <alignment horizontal="center" vertical="center"/>
      <protection locked="0"/>
    </xf>
    <xf numFmtId="0" fontId="1" fillId="35" borderId="24" xfId="55" applyFont="1" applyFill="1" applyBorder="1" applyAlignment="1" applyProtection="1">
      <alignment horizontal="center" vertical="center"/>
      <protection locked="0"/>
    </xf>
    <xf numFmtId="0" fontId="6" fillId="0" borderId="40" xfId="55" applyFont="1" applyBorder="1" applyAlignment="1" applyProtection="1">
      <alignment horizontal="center" vertical="center"/>
      <protection locked="0"/>
    </xf>
    <xf numFmtId="0" fontId="6" fillId="0" borderId="22" xfId="55" applyFont="1" applyBorder="1" applyAlignment="1" applyProtection="1">
      <alignment horizontal="center" vertical="center"/>
      <protection locked="0"/>
    </xf>
    <xf numFmtId="0" fontId="6" fillId="0" borderId="23" xfId="55" applyFont="1" applyBorder="1" applyAlignment="1" applyProtection="1">
      <alignment horizontal="center" vertical="center"/>
      <protection locked="0"/>
    </xf>
    <xf numFmtId="0" fontId="6" fillId="0" borderId="42" xfId="55" applyFont="1" applyBorder="1" applyAlignment="1" applyProtection="1">
      <alignment horizontal="center" vertical="center"/>
      <protection locked="0"/>
    </xf>
    <xf numFmtId="0" fontId="6" fillId="0" borderId="13" xfId="55" applyFont="1" applyBorder="1" applyAlignment="1" applyProtection="1">
      <alignment horizontal="center" vertical="center"/>
      <protection locked="0"/>
    </xf>
    <xf numFmtId="0" fontId="6" fillId="0" borderId="41" xfId="55" applyFont="1" applyBorder="1" applyAlignment="1" applyProtection="1">
      <alignment horizontal="center" vertical="center"/>
      <protection locked="0"/>
    </xf>
    <xf numFmtId="0" fontId="6" fillId="0" borderId="39" xfId="55" applyFont="1" applyBorder="1" applyAlignment="1" applyProtection="1">
      <alignment horizontal="center" vertical="center"/>
      <protection locked="0"/>
    </xf>
    <xf numFmtId="0" fontId="6" fillId="0" borderId="45" xfId="55" applyFont="1" applyBorder="1" applyAlignment="1" applyProtection="1" quotePrefix="1">
      <alignment horizontal="left" vertical="center"/>
      <protection locked="0"/>
    </xf>
    <xf numFmtId="0" fontId="6" fillId="0" borderId="0" xfId="55" applyFont="1" applyBorder="1" applyAlignment="1" applyProtection="1" quotePrefix="1">
      <alignment horizontal="left" vertical="center"/>
      <protection locked="0"/>
    </xf>
    <xf numFmtId="0" fontId="6" fillId="0" borderId="18" xfId="55" applyFont="1" applyBorder="1" applyAlignment="1" applyProtection="1" quotePrefix="1">
      <alignment horizontal="left" vertical="center"/>
      <protection locked="0"/>
    </xf>
    <xf numFmtId="0" fontId="10" fillId="0" borderId="20" xfId="55" applyFont="1" applyBorder="1" applyAlignment="1" applyProtection="1">
      <alignment horizontal="left" vertical="center"/>
      <protection locked="0"/>
    </xf>
    <xf numFmtId="0" fontId="10" fillId="0" borderId="21" xfId="55" applyFont="1" applyBorder="1" applyAlignment="1" applyProtection="1">
      <alignment horizontal="left" vertical="center"/>
      <protection locked="0"/>
    </xf>
    <xf numFmtId="0" fontId="6" fillId="0" borderId="48" xfId="55" applyFont="1" applyBorder="1" applyAlignment="1" applyProtection="1">
      <alignment horizontal="center" vertical="center"/>
      <protection/>
    </xf>
    <xf numFmtId="0" fontId="6" fillId="0" borderId="15" xfId="55" applyFont="1" applyBorder="1" applyAlignment="1" applyProtection="1">
      <alignment horizontal="center" vertical="center"/>
      <protection/>
    </xf>
    <xf numFmtId="0" fontId="6" fillId="0" borderId="49" xfId="55" applyFont="1" applyBorder="1" applyAlignment="1" applyProtection="1">
      <alignment horizontal="center" vertical="center"/>
      <protection locked="0"/>
    </xf>
    <xf numFmtId="0" fontId="6" fillId="0" borderId="50" xfId="55" applyFont="1" applyBorder="1" applyAlignment="1" applyProtection="1">
      <alignment horizontal="center" vertical="center"/>
      <protection locked="0"/>
    </xf>
    <xf numFmtId="15" fontId="6" fillId="0" borderId="40" xfId="55" applyNumberFormat="1" applyFont="1" applyBorder="1" applyAlignment="1" applyProtection="1" quotePrefix="1">
      <alignment horizontal="center" vertical="center"/>
      <protection locked="0"/>
    </xf>
    <xf numFmtId="15" fontId="6" fillId="0" borderId="22" xfId="55" applyNumberFormat="1" applyFont="1" applyBorder="1" applyAlignment="1" applyProtection="1" quotePrefix="1">
      <alignment horizontal="center" vertical="center"/>
      <protection locked="0"/>
    </xf>
    <xf numFmtId="15" fontId="6" fillId="0" borderId="39" xfId="55" applyNumberFormat="1" applyFont="1" applyBorder="1" applyAlignment="1" applyProtection="1" quotePrefix="1">
      <alignment horizontal="center" vertical="center"/>
      <protection locked="0"/>
    </xf>
    <xf numFmtId="0" fontId="0" fillId="0" borderId="42" xfId="55" applyBorder="1" applyAlignment="1" applyProtection="1">
      <alignment horizontal="center"/>
      <protection locked="0"/>
    </xf>
    <xf numFmtId="0" fontId="0" fillId="0" borderId="13" xfId="55" applyBorder="1" applyAlignment="1" applyProtection="1">
      <alignment horizontal="center"/>
      <protection locked="0"/>
    </xf>
    <xf numFmtId="0" fontId="0" fillId="0" borderId="38" xfId="55" applyBorder="1" applyAlignment="1" applyProtection="1">
      <alignment horizontal="center"/>
      <protection locked="0"/>
    </xf>
    <xf numFmtId="0" fontId="6" fillId="0" borderId="33" xfId="55" applyFont="1" applyBorder="1" applyAlignment="1" applyProtection="1">
      <alignment horizontal="center" vertical="center"/>
      <protection locked="0"/>
    </xf>
    <xf numFmtId="15" fontId="6" fillId="0" borderId="40" xfId="55" applyNumberFormat="1" applyFont="1" applyBorder="1" applyAlignment="1" applyProtection="1">
      <alignment horizontal="center" vertical="center"/>
      <protection locked="0"/>
    </xf>
    <xf numFmtId="15" fontId="6" fillId="0" borderId="22" xfId="55" applyNumberFormat="1" applyFont="1" applyBorder="1" applyAlignment="1" applyProtection="1">
      <alignment horizontal="center" vertical="center"/>
      <protection locked="0"/>
    </xf>
    <xf numFmtId="15" fontId="6" fillId="0" borderId="39" xfId="55" applyNumberFormat="1" applyFont="1" applyBorder="1" applyAlignment="1" applyProtection="1">
      <alignment horizontal="center" vertical="center"/>
      <protection locked="0"/>
    </xf>
    <xf numFmtId="0" fontId="10" fillId="0" borderId="33" xfId="55" applyFont="1" applyBorder="1" applyAlignment="1" applyProtection="1" quotePrefix="1">
      <alignment horizontal="left" vertical="center"/>
      <protection/>
    </xf>
    <xf numFmtId="0" fontId="10" fillId="0" borderId="22" xfId="55" applyFont="1" applyBorder="1" applyAlignment="1" applyProtection="1" quotePrefix="1">
      <alignment horizontal="left" vertical="center"/>
      <protection/>
    </xf>
    <xf numFmtId="0" fontId="8" fillId="0" borderId="26" xfId="55" applyFont="1" applyBorder="1" applyAlignment="1" applyProtection="1">
      <alignment horizontal="center" vertical="center"/>
      <protection/>
    </xf>
    <xf numFmtId="0" fontId="8" fillId="0" borderId="27" xfId="55" applyFont="1" applyBorder="1" applyAlignment="1" applyProtection="1">
      <alignment horizontal="center" vertical="center"/>
      <protection/>
    </xf>
    <xf numFmtId="0" fontId="8" fillId="0" borderId="31" xfId="55" applyFont="1" applyBorder="1" applyAlignment="1" applyProtection="1">
      <alignment horizontal="center" vertical="center"/>
      <protection/>
    </xf>
    <xf numFmtId="176" fontId="1" fillId="35" borderId="26" xfId="55" applyNumberFormat="1" applyFont="1" applyFill="1" applyBorder="1" applyAlignment="1" applyProtection="1">
      <alignment horizontal="center" vertical="center"/>
      <protection locked="0"/>
    </xf>
    <xf numFmtId="176" fontId="1" fillId="35" borderId="27" xfId="55" applyNumberFormat="1" applyFont="1" applyFill="1" applyBorder="1" applyAlignment="1" applyProtection="1">
      <alignment horizontal="center" vertical="center"/>
      <protection locked="0"/>
    </xf>
    <xf numFmtId="176" fontId="1" fillId="35" borderId="31" xfId="55" applyNumberFormat="1" applyFont="1" applyFill="1" applyBorder="1" applyAlignment="1" applyProtection="1">
      <alignment horizontal="center" vertical="center"/>
      <protection locked="0"/>
    </xf>
    <xf numFmtId="0" fontId="6" fillId="0" borderId="33" xfId="55" applyFont="1" applyBorder="1" applyAlignment="1" applyProtection="1" quotePrefix="1">
      <alignment horizontal="left" vertical="center"/>
      <protection/>
    </xf>
    <xf numFmtId="0" fontId="6" fillId="0" borderId="22" xfId="55" applyFont="1" applyBorder="1" applyAlignment="1" applyProtection="1" quotePrefix="1">
      <alignment horizontal="left" vertical="center"/>
      <protection/>
    </xf>
    <xf numFmtId="0" fontId="10" fillId="35" borderId="22" xfId="55" applyFont="1" applyFill="1" applyBorder="1" applyAlignment="1" applyProtection="1">
      <alignment horizontal="center" vertical="center"/>
      <protection locked="0"/>
    </xf>
    <xf numFmtId="0" fontId="10" fillId="35" borderId="39" xfId="55" applyFont="1" applyFill="1" applyBorder="1" applyAlignment="1" applyProtection="1">
      <alignment horizontal="center" vertical="center"/>
      <protection locked="0"/>
    </xf>
    <xf numFmtId="0" fontId="6" fillId="0" borderId="48" xfId="55" applyFont="1" applyBorder="1" applyAlignment="1" applyProtection="1" quotePrefix="1">
      <alignment horizontal="left" vertical="center"/>
      <protection locked="0"/>
    </xf>
    <xf numFmtId="0" fontId="6" fillId="0" borderId="15" xfId="55" applyFont="1" applyBorder="1" applyAlignment="1" applyProtection="1" quotePrefix="1">
      <alignment horizontal="left" vertical="center"/>
      <protection locked="0"/>
    </xf>
    <xf numFmtId="0" fontId="6" fillId="0" borderId="16" xfId="55" applyFont="1" applyBorder="1" applyAlignment="1" applyProtection="1" quotePrefix="1">
      <alignment horizontal="left" vertical="center"/>
      <protection locked="0"/>
    </xf>
    <xf numFmtId="0" fontId="1" fillId="34" borderId="12" xfId="55" applyFont="1" applyFill="1" applyBorder="1" applyAlignment="1" applyProtection="1">
      <alignment horizontal="center" vertical="center"/>
      <protection/>
    </xf>
    <xf numFmtId="0" fontId="1" fillId="34" borderId="35" xfId="55" applyFont="1" applyFill="1" applyBorder="1" applyAlignment="1" applyProtection="1">
      <alignment horizontal="center" vertical="center"/>
      <protection/>
    </xf>
    <xf numFmtId="0" fontId="6" fillId="0" borderId="33" xfId="55" applyFont="1" applyBorder="1" applyAlignment="1" applyProtection="1">
      <alignment horizontal="center" vertical="center"/>
      <protection/>
    </xf>
    <xf numFmtId="0" fontId="6" fillId="0" borderId="39" xfId="55" applyFont="1" applyBorder="1" applyAlignment="1" applyProtection="1">
      <alignment horizontal="center" vertical="center"/>
      <protection/>
    </xf>
    <xf numFmtId="0" fontId="6" fillId="0" borderId="40" xfId="55" applyFont="1" applyBorder="1" applyAlignment="1" applyProtection="1">
      <alignment horizontal="center" vertical="center"/>
      <protection/>
    </xf>
    <xf numFmtId="3" fontId="19" fillId="0" borderId="22" xfId="55" applyNumberFormat="1" applyFont="1" applyBorder="1" applyAlignment="1" applyProtection="1">
      <alignment horizontal="center" vertical="center"/>
      <protection/>
    </xf>
    <xf numFmtId="0" fontId="7" fillId="0" borderId="13" xfId="55" applyFont="1" applyBorder="1" applyAlignment="1" applyProtection="1">
      <alignment horizontal="center" vertical="center"/>
      <protection/>
    </xf>
    <xf numFmtId="0" fontId="1" fillId="35" borderId="13" xfId="55" applyFont="1" applyFill="1" applyBorder="1" applyAlignment="1" applyProtection="1" quotePrefix="1">
      <alignment horizontal="center" vertical="center"/>
      <protection locked="0"/>
    </xf>
    <xf numFmtId="4" fontId="1" fillId="35" borderId="0" xfId="55" applyNumberFormat="1" applyFont="1" applyFill="1" applyBorder="1" applyAlignment="1" applyProtection="1">
      <alignment horizontal="center"/>
      <protection locked="0"/>
    </xf>
    <xf numFmtId="0" fontId="6" fillId="0" borderId="42" xfId="55" applyFont="1" applyBorder="1" applyAlignment="1" applyProtection="1" quotePrefix="1">
      <alignment horizontal="left" vertical="center"/>
      <protection/>
    </xf>
    <xf numFmtId="0" fontId="6" fillId="0" borderId="13" xfId="55" applyFont="1" applyBorder="1" applyAlignment="1" applyProtection="1" quotePrefix="1">
      <alignment horizontal="left" vertical="center"/>
      <protection/>
    </xf>
    <xf numFmtId="0" fontId="1" fillId="34" borderId="12" xfId="55" applyFont="1" applyFill="1" applyBorder="1" applyAlignment="1" applyProtection="1">
      <alignment horizontal="center" vertical="center"/>
      <protection locked="0"/>
    </xf>
    <xf numFmtId="0" fontId="1" fillId="34" borderId="35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Border="1" applyAlignment="1" applyProtection="1">
      <alignment horizontal="center" vertical="center"/>
      <protection/>
    </xf>
    <xf numFmtId="2" fontId="1" fillId="35" borderId="0" xfId="55" applyNumberFormat="1" applyFont="1" applyFill="1" applyBorder="1" applyAlignment="1" applyProtection="1">
      <alignment horizontal="center"/>
      <protection locked="0"/>
    </xf>
    <xf numFmtId="0" fontId="6" fillId="0" borderId="40" xfId="55" applyFont="1" applyBorder="1" applyAlignment="1" applyProtection="1" quotePrefix="1">
      <alignment horizontal="center" vertical="center"/>
      <protection/>
    </xf>
    <xf numFmtId="0" fontId="6" fillId="0" borderId="22" xfId="55" applyFont="1" applyBorder="1" applyAlignment="1" applyProtection="1" quotePrefix="1">
      <alignment horizontal="center" vertical="center"/>
      <protection/>
    </xf>
    <xf numFmtId="4" fontId="7" fillId="0" borderId="22" xfId="55" applyNumberFormat="1" applyFont="1" applyFill="1" applyBorder="1" applyAlignment="1" applyProtection="1">
      <alignment horizontal="right" vertical="center"/>
      <protection/>
    </xf>
    <xf numFmtId="0" fontId="10" fillId="0" borderId="36" xfId="55" applyFont="1" applyBorder="1" applyAlignment="1" applyProtection="1">
      <alignment horizontal="center" vertical="center"/>
      <protection/>
    </xf>
    <xf numFmtId="0" fontId="10" fillId="0" borderId="12" xfId="55" applyFont="1" applyBorder="1" applyAlignment="1" applyProtection="1">
      <alignment horizontal="center" vertical="center"/>
      <protection/>
    </xf>
    <xf numFmtId="0" fontId="10" fillId="0" borderId="35" xfId="55" applyFont="1" applyBorder="1" applyAlignment="1" applyProtection="1">
      <alignment horizontal="center" vertical="center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6" fillId="0" borderId="34" xfId="55" applyFont="1" applyBorder="1" applyAlignment="1" applyProtection="1" quotePrefix="1">
      <alignment horizontal="left" vertical="center"/>
      <protection/>
    </xf>
    <xf numFmtId="0" fontId="10" fillId="0" borderId="26" xfId="55" applyFont="1" applyBorder="1" applyAlignment="1" applyProtection="1">
      <alignment horizontal="center" vertical="center"/>
      <protection/>
    </xf>
    <xf numFmtId="0" fontId="10" fillId="0" borderId="27" xfId="55" applyFont="1" applyBorder="1" applyAlignment="1" applyProtection="1">
      <alignment horizontal="center" vertical="center"/>
      <protection/>
    </xf>
    <xf numFmtId="0" fontId="10" fillId="0" borderId="31" xfId="55" applyFont="1" applyBorder="1" applyAlignment="1" applyProtection="1">
      <alignment horizontal="center" vertical="center"/>
      <protection/>
    </xf>
    <xf numFmtId="0" fontId="10" fillId="0" borderId="43" xfId="55" applyFont="1" applyBorder="1" applyAlignment="1" applyProtection="1" quotePrefix="1">
      <alignment horizontal="center" vertical="center"/>
      <protection/>
    </xf>
    <xf numFmtId="0" fontId="10" fillId="0" borderId="10" xfId="55" applyFont="1" applyBorder="1" applyAlignment="1" applyProtection="1" quotePrefix="1">
      <alignment horizontal="center" vertical="center"/>
      <protection/>
    </xf>
    <xf numFmtId="0" fontId="10" fillId="0" borderId="51" xfId="55" applyFont="1" applyBorder="1" applyAlignment="1" applyProtection="1" quotePrefix="1">
      <alignment horizontal="center" vertical="center"/>
      <protection/>
    </xf>
    <xf numFmtId="0" fontId="10" fillId="35" borderId="36" xfId="55" applyFont="1" applyFill="1" applyBorder="1" applyAlignment="1" applyProtection="1">
      <alignment horizontal="center" vertical="center"/>
      <protection locked="0"/>
    </xf>
    <xf numFmtId="0" fontId="10" fillId="35" borderId="12" xfId="55" applyFont="1" applyFill="1" applyBorder="1" applyAlignment="1" applyProtection="1">
      <alignment horizontal="center" vertical="center"/>
      <protection locked="0"/>
    </xf>
    <xf numFmtId="0" fontId="10" fillId="35" borderId="24" xfId="55" applyFont="1" applyFill="1" applyBorder="1" applyAlignment="1" applyProtection="1">
      <alignment horizontal="center" vertical="center"/>
      <protection locked="0"/>
    </xf>
    <xf numFmtId="0" fontId="6" fillId="0" borderId="35" xfId="55" applyFont="1" applyBorder="1" applyAlignment="1" applyProtection="1" quotePrefix="1">
      <alignment horizontal="left" vertical="center"/>
      <protection/>
    </xf>
    <xf numFmtId="0" fontId="0" fillId="35" borderId="35" xfId="55" applyFill="1" applyBorder="1" applyAlignment="1" applyProtection="1">
      <alignment horizontal="center" vertical="center"/>
      <protection locked="0"/>
    </xf>
    <xf numFmtId="0" fontId="0" fillId="35" borderId="35" xfId="55" applyFill="1" applyBorder="1" applyAlignment="1" applyProtection="1">
      <alignment vertical="center"/>
      <protection locked="0"/>
    </xf>
    <xf numFmtId="0" fontId="6" fillId="0" borderId="35" xfId="55" applyFont="1" applyBorder="1" applyAlignment="1" applyProtection="1" quotePrefix="1">
      <alignment horizontal="center" vertical="center"/>
      <protection/>
    </xf>
    <xf numFmtId="177" fontId="7" fillId="35" borderId="22" xfId="55" applyNumberFormat="1" applyFont="1" applyFill="1" applyBorder="1" applyAlignment="1" applyProtection="1">
      <alignment horizontal="center" vertical="center"/>
      <protection locked="0"/>
    </xf>
    <xf numFmtId="177" fontId="7" fillId="35" borderId="23" xfId="55" applyNumberFormat="1" applyFont="1" applyFill="1" applyBorder="1" applyAlignment="1" applyProtection="1">
      <alignment horizontal="center" vertical="center"/>
      <protection locked="0"/>
    </xf>
    <xf numFmtId="174" fontId="8" fillId="0" borderId="40" xfId="42" applyNumberFormat="1" applyFont="1" applyBorder="1" applyAlignment="1" applyProtection="1">
      <alignment horizontal="center" vertical="center"/>
      <protection/>
    </xf>
    <xf numFmtId="174" fontId="8" fillId="0" borderId="22" xfId="42" applyNumberFormat="1" applyFont="1" applyBorder="1" applyAlignment="1" applyProtection="1">
      <alignment horizontal="center" vertical="center"/>
      <protection/>
    </xf>
    <xf numFmtId="174" fontId="8" fillId="0" borderId="39" xfId="42" applyNumberFormat="1" applyFont="1" applyBorder="1" applyAlignment="1" applyProtection="1">
      <alignment horizontal="center" vertical="center"/>
      <protection/>
    </xf>
    <xf numFmtId="0" fontId="6" fillId="0" borderId="36" xfId="55" applyFont="1" applyBorder="1" applyAlignment="1" applyProtection="1">
      <alignment horizontal="left" vertical="center"/>
      <protection/>
    </xf>
    <xf numFmtId="0" fontId="6" fillId="0" borderId="42" xfId="55" applyFont="1" applyBorder="1" applyAlignment="1" applyProtection="1">
      <alignment horizontal="left" vertical="center"/>
      <protection/>
    </xf>
    <xf numFmtId="0" fontId="6" fillId="0" borderId="13" xfId="55" applyFont="1" applyBorder="1" applyAlignment="1" applyProtection="1">
      <alignment horizontal="left" vertical="center"/>
      <protection/>
    </xf>
    <xf numFmtId="0" fontId="6" fillId="0" borderId="34" xfId="55" applyFont="1" applyBorder="1" applyAlignment="1" applyProtection="1">
      <alignment horizontal="left" vertical="center"/>
      <protection/>
    </xf>
    <xf numFmtId="0" fontId="6" fillId="0" borderId="45" xfId="55" applyFont="1" applyBorder="1" applyAlignment="1" applyProtection="1">
      <alignment horizontal="center" vertical="center"/>
      <protection locked="0"/>
    </xf>
    <xf numFmtId="0" fontId="6" fillId="0" borderId="46" xfId="55" applyFont="1" applyBorder="1" applyAlignment="1" applyProtection="1">
      <alignment horizontal="center" vertical="center"/>
      <protection locked="0"/>
    </xf>
    <xf numFmtId="0" fontId="0" fillId="35" borderId="13" xfId="55" applyFill="1" applyBorder="1" applyAlignment="1" applyProtection="1">
      <alignment horizontal="center"/>
      <protection locked="0"/>
    </xf>
    <xf numFmtId="0" fontId="0" fillId="35" borderId="41" xfId="55" applyFill="1" applyBorder="1" applyAlignment="1" applyProtection="1">
      <alignment horizontal="center"/>
      <protection locked="0"/>
    </xf>
    <xf numFmtId="0" fontId="6" fillId="0" borderId="38" xfId="55" applyFont="1" applyBorder="1" applyAlignment="1" applyProtection="1" quotePrefix="1">
      <alignment horizontal="center" vertical="center"/>
      <protection/>
    </xf>
    <xf numFmtId="0" fontId="7" fillId="35" borderId="22" xfId="55" applyFont="1" applyFill="1" applyBorder="1" applyAlignment="1" applyProtection="1">
      <alignment horizontal="center" vertical="center"/>
      <protection/>
    </xf>
    <xf numFmtId="0" fontId="7" fillId="35" borderId="23" xfId="55" applyFont="1" applyFill="1" applyBorder="1" applyAlignment="1" applyProtection="1">
      <alignment horizontal="center" vertical="center"/>
      <protection/>
    </xf>
    <xf numFmtId="0" fontId="10" fillId="0" borderId="32" xfId="55" applyFont="1" applyBorder="1" applyAlignment="1" applyProtection="1">
      <alignment horizontal="center" vertical="center"/>
      <protection locked="0"/>
    </xf>
    <xf numFmtId="0" fontId="10" fillId="0" borderId="12" xfId="55" applyFont="1" applyBorder="1" applyAlignment="1" applyProtection="1">
      <alignment horizontal="center" vertical="center"/>
      <protection locked="0"/>
    </xf>
    <xf numFmtId="0" fontId="10" fillId="0" borderId="24" xfId="55" applyFont="1" applyBorder="1" applyAlignment="1" applyProtection="1">
      <alignment horizontal="center" vertical="center"/>
      <protection locked="0"/>
    </xf>
    <xf numFmtId="0" fontId="6" fillId="0" borderId="36" xfId="55" applyFont="1" applyBorder="1" applyAlignment="1" applyProtection="1" quotePrefix="1">
      <alignment horizontal="left" vertical="center"/>
      <protection/>
    </xf>
    <xf numFmtId="0" fontId="1" fillId="0" borderId="0" xfId="55" applyFont="1" applyBorder="1" applyAlignment="1" applyProtection="1" quotePrefix="1">
      <alignment horizontal="center"/>
      <protection/>
    </xf>
    <xf numFmtId="0" fontId="10" fillId="0" borderId="13" xfId="55" applyFont="1" applyBorder="1" applyAlignment="1" applyProtection="1">
      <alignment horizontal="center" vertical="center"/>
      <protection/>
    </xf>
    <xf numFmtId="0" fontId="6" fillId="0" borderId="34" xfId="55" applyFont="1" applyBorder="1" applyAlignment="1" applyProtection="1">
      <alignment horizontal="center" vertical="center"/>
      <protection/>
    </xf>
    <xf numFmtId="0" fontId="10" fillId="0" borderId="13" xfId="55" applyFont="1" applyBorder="1" applyAlignment="1" applyProtection="1">
      <alignment horizontal="center" vertical="center"/>
      <protection/>
    </xf>
    <xf numFmtId="0" fontId="10" fillId="0" borderId="41" xfId="55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 quotePrefix="1">
      <alignment horizontal="left" vertical="center"/>
    </xf>
    <xf numFmtId="0" fontId="0" fillId="0" borderId="0" xfId="0" applyAlignment="1" quotePrefix="1">
      <alignment horizontal="righ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N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7</xdr:col>
      <xdr:colOff>38100</xdr:colOff>
      <xdr:row>2</xdr:row>
      <xdr:rowOff>123825</xdr:rowOff>
    </xdr:to>
    <xdr:grpSp>
      <xdr:nvGrpSpPr>
        <xdr:cNvPr id="1" name="Group 41"/>
        <xdr:cNvGrpSpPr>
          <a:grpSpLocks/>
        </xdr:cNvGrpSpPr>
      </xdr:nvGrpSpPr>
      <xdr:grpSpPr>
        <a:xfrm>
          <a:off x="238125" y="57150"/>
          <a:ext cx="1076325" cy="381000"/>
          <a:chOff x="500000" y="120000"/>
          <a:chExt cx="2260000" cy="800000"/>
        </a:xfrm>
        <a:solidFill>
          <a:srgbClr val="FFFFFF"/>
        </a:solidFill>
      </xdr:grpSpPr>
      <xdr:sp>
        <xdr:nvSpPr>
          <xdr:cNvPr id="2" name="Line 42"/>
          <xdr:cNvSpPr>
            <a:spLocks/>
          </xdr:cNvSpPr>
        </xdr:nvSpPr>
        <xdr:spPr>
          <a:xfrm>
            <a:off x="500000" y="120000"/>
            <a:ext cx="2260000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3"/>
          <xdr:cNvSpPr>
            <a:spLocks/>
          </xdr:cNvSpPr>
        </xdr:nvSpPr>
        <xdr:spPr>
          <a:xfrm>
            <a:off x="500000" y="920000"/>
            <a:ext cx="2260000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57150</xdr:colOff>
      <xdr:row>6</xdr:row>
      <xdr:rowOff>95250</xdr:rowOff>
    </xdr:from>
    <xdr:to>
      <xdr:col>42</xdr:col>
      <xdr:colOff>9525</xdr:colOff>
      <xdr:row>6</xdr:row>
      <xdr:rowOff>123825</xdr:rowOff>
    </xdr:to>
    <xdr:sp>
      <xdr:nvSpPr>
        <xdr:cNvPr id="4" name="Text 141"/>
        <xdr:cNvSpPr txBox="1">
          <a:spLocks noChangeArrowheads="1"/>
        </xdr:cNvSpPr>
      </xdr:nvSpPr>
      <xdr:spPr>
        <a:xfrm>
          <a:off x="7486650" y="981075"/>
          <a:ext cx="1333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60°</a:t>
          </a:r>
        </a:p>
      </xdr:txBody>
    </xdr:sp>
    <xdr:clientData fLocksWithSheet="0"/>
  </xdr:twoCellAnchor>
  <xdr:twoCellAnchor>
    <xdr:from>
      <xdr:col>39</xdr:col>
      <xdr:colOff>0</xdr:colOff>
      <xdr:row>6</xdr:row>
      <xdr:rowOff>85725</xdr:rowOff>
    </xdr:from>
    <xdr:to>
      <xdr:col>39</xdr:col>
      <xdr:colOff>133350</xdr:colOff>
      <xdr:row>6</xdr:row>
      <xdr:rowOff>114300</xdr:rowOff>
    </xdr:to>
    <xdr:sp>
      <xdr:nvSpPr>
        <xdr:cNvPr id="5" name="Text 170"/>
        <xdr:cNvSpPr txBox="1">
          <a:spLocks noChangeArrowheads="1"/>
        </xdr:cNvSpPr>
      </xdr:nvSpPr>
      <xdr:spPr>
        <a:xfrm>
          <a:off x="7067550" y="971550"/>
          <a:ext cx="1333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45°</a:t>
          </a:r>
        </a:p>
      </xdr:txBody>
    </xdr:sp>
    <xdr:clientData/>
  </xdr:twoCellAnchor>
  <xdr:twoCellAnchor>
    <xdr:from>
      <xdr:col>36</xdr:col>
      <xdr:colOff>142875</xdr:colOff>
      <xdr:row>6</xdr:row>
      <xdr:rowOff>85725</xdr:rowOff>
    </xdr:from>
    <xdr:to>
      <xdr:col>37</xdr:col>
      <xdr:colOff>104775</xdr:colOff>
      <xdr:row>6</xdr:row>
      <xdr:rowOff>114300</xdr:rowOff>
    </xdr:to>
    <xdr:sp>
      <xdr:nvSpPr>
        <xdr:cNvPr id="6" name="Text 180"/>
        <xdr:cNvSpPr txBox="1">
          <a:spLocks noChangeArrowheads="1"/>
        </xdr:cNvSpPr>
      </xdr:nvSpPr>
      <xdr:spPr>
        <a:xfrm>
          <a:off x="6667500" y="971550"/>
          <a:ext cx="1428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22860" rIns="0" bIns="22860" anchor="ctr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30°</a:t>
          </a:r>
        </a:p>
      </xdr:txBody>
    </xdr:sp>
    <xdr:clientData/>
  </xdr:twoCellAnchor>
  <xdr:twoCellAnchor>
    <xdr:from>
      <xdr:col>35</xdr:col>
      <xdr:colOff>9525</xdr:colOff>
      <xdr:row>1</xdr:row>
      <xdr:rowOff>9525</xdr:rowOff>
    </xdr:from>
    <xdr:to>
      <xdr:col>35</xdr:col>
      <xdr:colOff>161925</xdr:colOff>
      <xdr:row>3</xdr:row>
      <xdr:rowOff>38100</xdr:rowOff>
    </xdr:to>
    <xdr:sp>
      <xdr:nvSpPr>
        <xdr:cNvPr id="7" name="Text 235"/>
        <xdr:cNvSpPr txBox="1">
          <a:spLocks noChangeArrowheads="1"/>
        </xdr:cNvSpPr>
      </xdr:nvSpPr>
      <xdr:spPr>
        <a:xfrm>
          <a:off x="6353175" y="171450"/>
          <a:ext cx="152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0" rIns="0" bIns="22860" anchor="b" vert="vert270"/>
        <a:p>
          <a:pPr algn="l">
            <a:defRPr/>
          </a:pP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Rev. No.</a:t>
          </a:r>
        </a:p>
      </xdr:txBody>
    </xdr:sp>
    <xdr:clientData/>
  </xdr:twoCellAnchor>
  <xdr:twoCellAnchor>
    <xdr:from>
      <xdr:col>39</xdr:col>
      <xdr:colOff>9525</xdr:colOff>
      <xdr:row>20</xdr:row>
      <xdr:rowOff>19050</xdr:rowOff>
    </xdr:from>
    <xdr:to>
      <xdr:col>40</xdr:col>
      <xdr:colOff>9525</xdr:colOff>
      <xdr:row>22</xdr:row>
      <xdr:rowOff>19050</xdr:rowOff>
    </xdr:to>
    <xdr:grpSp>
      <xdr:nvGrpSpPr>
        <xdr:cNvPr id="8" name="Group 81"/>
        <xdr:cNvGrpSpPr>
          <a:grpSpLocks/>
        </xdr:cNvGrpSpPr>
      </xdr:nvGrpSpPr>
      <xdr:grpSpPr>
        <a:xfrm>
          <a:off x="7077075" y="3057525"/>
          <a:ext cx="180975" cy="304800"/>
          <a:chOff x="14840000" y="7900000"/>
          <a:chExt cx="380000" cy="640000"/>
        </a:xfrm>
        <a:solidFill>
          <a:srgbClr val="FFFFFF"/>
        </a:solidFill>
      </xdr:grpSpPr>
      <xdr:sp>
        <xdr:nvSpPr>
          <xdr:cNvPr id="9" name="Line 82"/>
          <xdr:cNvSpPr>
            <a:spLocks/>
          </xdr:cNvSpPr>
        </xdr:nvSpPr>
        <xdr:spPr>
          <a:xfrm flipH="1">
            <a:off x="14840000" y="8220000"/>
            <a:ext cx="380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3"/>
          <xdr:cNvSpPr>
            <a:spLocks/>
          </xdr:cNvSpPr>
        </xdr:nvSpPr>
        <xdr:spPr>
          <a:xfrm flipH="1" flipV="1">
            <a:off x="14840000" y="7900000"/>
            <a:ext cx="0" cy="6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133350</xdr:colOff>
      <xdr:row>19</xdr:row>
      <xdr:rowOff>38100</xdr:rowOff>
    </xdr:from>
    <xdr:to>
      <xdr:col>44</xdr:col>
      <xdr:colOff>85725</xdr:colOff>
      <xdr:row>20</xdr:row>
      <xdr:rowOff>95250</xdr:rowOff>
    </xdr:to>
    <xdr:grpSp>
      <xdr:nvGrpSpPr>
        <xdr:cNvPr id="11" name="Group 84"/>
        <xdr:cNvGrpSpPr>
          <a:grpSpLocks/>
        </xdr:cNvGrpSpPr>
      </xdr:nvGrpSpPr>
      <xdr:grpSpPr>
        <a:xfrm>
          <a:off x="7743825" y="2924175"/>
          <a:ext cx="314325" cy="209550"/>
          <a:chOff x="14900000" y="9100000"/>
          <a:chExt cx="660000" cy="440000"/>
        </a:xfrm>
        <a:solidFill>
          <a:srgbClr val="FFFFFF"/>
        </a:solidFill>
      </xdr:grpSpPr>
      <xdr:sp>
        <xdr:nvSpPr>
          <xdr:cNvPr id="12" name="Line 85"/>
          <xdr:cNvSpPr>
            <a:spLocks/>
          </xdr:cNvSpPr>
        </xdr:nvSpPr>
        <xdr:spPr>
          <a:xfrm>
            <a:off x="15240065" y="9100000"/>
            <a:ext cx="0" cy="4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86"/>
          <xdr:cNvSpPr>
            <a:spLocks/>
          </xdr:cNvSpPr>
        </xdr:nvSpPr>
        <xdr:spPr>
          <a:xfrm>
            <a:off x="14900000" y="9100000"/>
            <a:ext cx="660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133350</xdr:colOff>
      <xdr:row>21</xdr:row>
      <xdr:rowOff>85725</xdr:rowOff>
    </xdr:from>
    <xdr:to>
      <xdr:col>44</xdr:col>
      <xdr:colOff>85725</xdr:colOff>
      <xdr:row>22</xdr:row>
      <xdr:rowOff>133350</xdr:rowOff>
    </xdr:to>
    <xdr:grpSp>
      <xdr:nvGrpSpPr>
        <xdr:cNvPr id="14" name="Group 87"/>
        <xdr:cNvGrpSpPr>
          <a:grpSpLocks/>
        </xdr:cNvGrpSpPr>
      </xdr:nvGrpSpPr>
      <xdr:grpSpPr>
        <a:xfrm>
          <a:off x="7743825" y="3276600"/>
          <a:ext cx="314325" cy="200025"/>
          <a:chOff x="15860000" y="9080000"/>
          <a:chExt cx="660000" cy="440000"/>
        </a:xfrm>
        <a:solidFill>
          <a:srgbClr val="FFFFFF"/>
        </a:solidFill>
      </xdr:grpSpPr>
      <xdr:sp>
        <xdr:nvSpPr>
          <xdr:cNvPr id="15" name="Line 88"/>
          <xdr:cNvSpPr>
            <a:spLocks/>
          </xdr:cNvSpPr>
        </xdr:nvSpPr>
        <xdr:spPr>
          <a:xfrm flipV="1">
            <a:off x="16200065" y="9080000"/>
            <a:ext cx="0" cy="4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89"/>
          <xdr:cNvSpPr>
            <a:spLocks/>
          </xdr:cNvSpPr>
        </xdr:nvSpPr>
        <xdr:spPr>
          <a:xfrm>
            <a:off x="15860000" y="9520000"/>
            <a:ext cx="660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</xdr:colOff>
      <xdr:row>20</xdr:row>
      <xdr:rowOff>104775</xdr:rowOff>
    </xdr:from>
    <xdr:to>
      <xdr:col>42</xdr:col>
      <xdr:colOff>114300</xdr:colOff>
      <xdr:row>22</xdr:row>
      <xdr:rowOff>95250</xdr:rowOff>
    </xdr:to>
    <xdr:sp>
      <xdr:nvSpPr>
        <xdr:cNvPr id="17" name="Oval 91"/>
        <xdr:cNvSpPr>
          <a:spLocks/>
        </xdr:cNvSpPr>
      </xdr:nvSpPr>
      <xdr:spPr>
        <a:xfrm>
          <a:off x="7439025" y="314325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15</xdr:row>
      <xdr:rowOff>114300</xdr:rowOff>
    </xdr:from>
    <xdr:to>
      <xdr:col>40</xdr:col>
      <xdr:colOff>66675</xdr:colOff>
      <xdr:row>16</xdr:row>
      <xdr:rowOff>85725</xdr:rowOff>
    </xdr:to>
    <xdr:grpSp>
      <xdr:nvGrpSpPr>
        <xdr:cNvPr id="18" name="Group 92"/>
        <xdr:cNvGrpSpPr>
          <a:grpSpLocks/>
        </xdr:cNvGrpSpPr>
      </xdr:nvGrpSpPr>
      <xdr:grpSpPr>
        <a:xfrm>
          <a:off x="6781800" y="2390775"/>
          <a:ext cx="533400" cy="123825"/>
          <a:chOff x="14320000" y="5040000"/>
          <a:chExt cx="1120000" cy="240000"/>
        </a:xfrm>
        <a:solidFill>
          <a:srgbClr val="FFFFFF"/>
        </a:solidFill>
      </xdr:grpSpPr>
      <xdr:sp>
        <xdr:nvSpPr>
          <xdr:cNvPr id="19" name="Line 93"/>
          <xdr:cNvSpPr>
            <a:spLocks/>
          </xdr:cNvSpPr>
        </xdr:nvSpPr>
        <xdr:spPr>
          <a:xfrm>
            <a:off x="14320000" y="5040000"/>
            <a:ext cx="1120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94"/>
          <xdr:cNvSpPr>
            <a:spLocks/>
          </xdr:cNvSpPr>
        </xdr:nvSpPr>
        <xdr:spPr>
          <a:xfrm>
            <a:off x="14320000" y="5280000"/>
            <a:ext cx="1120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95"/>
          <xdr:cNvSpPr>
            <a:spLocks/>
          </xdr:cNvSpPr>
        </xdr:nvSpPr>
        <xdr:spPr>
          <a:xfrm>
            <a:off x="1432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96"/>
          <xdr:cNvSpPr>
            <a:spLocks/>
          </xdr:cNvSpPr>
        </xdr:nvSpPr>
        <xdr:spPr>
          <a:xfrm>
            <a:off x="1446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97"/>
          <xdr:cNvSpPr>
            <a:spLocks/>
          </xdr:cNvSpPr>
        </xdr:nvSpPr>
        <xdr:spPr>
          <a:xfrm>
            <a:off x="1460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98"/>
          <xdr:cNvSpPr>
            <a:spLocks/>
          </xdr:cNvSpPr>
        </xdr:nvSpPr>
        <xdr:spPr>
          <a:xfrm>
            <a:off x="1474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99"/>
          <xdr:cNvSpPr>
            <a:spLocks/>
          </xdr:cNvSpPr>
        </xdr:nvSpPr>
        <xdr:spPr>
          <a:xfrm>
            <a:off x="1488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00"/>
          <xdr:cNvSpPr>
            <a:spLocks/>
          </xdr:cNvSpPr>
        </xdr:nvSpPr>
        <xdr:spPr>
          <a:xfrm>
            <a:off x="1502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101"/>
          <xdr:cNvSpPr>
            <a:spLocks/>
          </xdr:cNvSpPr>
        </xdr:nvSpPr>
        <xdr:spPr>
          <a:xfrm>
            <a:off x="1516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02"/>
          <xdr:cNvSpPr>
            <a:spLocks/>
          </xdr:cNvSpPr>
        </xdr:nvSpPr>
        <xdr:spPr>
          <a:xfrm>
            <a:off x="15300000" y="5040000"/>
            <a:ext cx="140000" cy="1600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03"/>
          <xdr:cNvSpPr>
            <a:spLocks/>
          </xdr:cNvSpPr>
        </xdr:nvSpPr>
        <xdr:spPr>
          <a:xfrm flipH="1">
            <a:off x="1440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104"/>
          <xdr:cNvSpPr>
            <a:spLocks/>
          </xdr:cNvSpPr>
        </xdr:nvSpPr>
        <xdr:spPr>
          <a:xfrm flipH="1">
            <a:off x="1454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105"/>
          <xdr:cNvSpPr>
            <a:spLocks/>
          </xdr:cNvSpPr>
        </xdr:nvSpPr>
        <xdr:spPr>
          <a:xfrm flipH="1">
            <a:off x="1468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106"/>
          <xdr:cNvSpPr>
            <a:spLocks/>
          </xdr:cNvSpPr>
        </xdr:nvSpPr>
        <xdr:spPr>
          <a:xfrm flipH="1">
            <a:off x="1482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107"/>
          <xdr:cNvSpPr>
            <a:spLocks/>
          </xdr:cNvSpPr>
        </xdr:nvSpPr>
        <xdr:spPr>
          <a:xfrm flipH="1">
            <a:off x="1496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08"/>
          <xdr:cNvSpPr>
            <a:spLocks/>
          </xdr:cNvSpPr>
        </xdr:nvSpPr>
        <xdr:spPr>
          <a:xfrm flipH="1">
            <a:off x="1510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09"/>
          <xdr:cNvSpPr>
            <a:spLocks/>
          </xdr:cNvSpPr>
        </xdr:nvSpPr>
        <xdr:spPr>
          <a:xfrm flipH="1">
            <a:off x="1524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10"/>
          <xdr:cNvSpPr>
            <a:spLocks/>
          </xdr:cNvSpPr>
        </xdr:nvSpPr>
        <xdr:spPr>
          <a:xfrm flipH="1">
            <a:off x="15380080" y="5200020"/>
            <a:ext cx="59920" cy="799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1"/>
          <xdr:cNvSpPr>
            <a:spLocks/>
          </xdr:cNvSpPr>
        </xdr:nvSpPr>
        <xdr:spPr>
          <a:xfrm>
            <a:off x="14320000" y="5200020"/>
            <a:ext cx="59920" cy="799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12"/>
          <xdr:cNvSpPr>
            <a:spLocks/>
          </xdr:cNvSpPr>
        </xdr:nvSpPr>
        <xdr:spPr>
          <a:xfrm flipH="1">
            <a:off x="14320000" y="5040000"/>
            <a:ext cx="120120" cy="1600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66675</xdr:colOff>
      <xdr:row>15</xdr:row>
      <xdr:rowOff>114300</xdr:rowOff>
    </xdr:from>
    <xdr:to>
      <xdr:col>43</xdr:col>
      <xdr:colOff>57150</xdr:colOff>
      <xdr:row>16</xdr:row>
      <xdr:rowOff>85725</xdr:rowOff>
    </xdr:to>
    <xdr:grpSp>
      <xdr:nvGrpSpPr>
        <xdr:cNvPr id="39" name="Group 113"/>
        <xdr:cNvGrpSpPr>
          <a:grpSpLocks/>
        </xdr:cNvGrpSpPr>
      </xdr:nvGrpSpPr>
      <xdr:grpSpPr>
        <a:xfrm>
          <a:off x="7315200" y="2390775"/>
          <a:ext cx="533400" cy="123825"/>
          <a:chOff x="15440000" y="5040000"/>
          <a:chExt cx="1120000" cy="240000"/>
        </a:xfrm>
        <a:solidFill>
          <a:srgbClr val="FFFFFF"/>
        </a:solidFill>
      </xdr:grpSpPr>
      <xdr:sp>
        <xdr:nvSpPr>
          <xdr:cNvPr id="40" name="Line 114"/>
          <xdr:cNvSpPr>
            <a:spLocks/>
          </xdr:cNvSpPr>
        </xdr:nvSpPr>
        <xdr:spPr>
          <a:xfrm>
            <a:off x="15440000" y="5040000"/>
            <a:ext cx="1120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115"/>
          <xdr:cNvSpPr>
            <a:spLocks/>
          </xdr:cNvSpPr>
        </xdr:nvSpPr>
        <xdr:spPr>
          <a:xfrm>
            <a:off x="15440000" y="5280000"/>
            <a:ext cx="1120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116"/>
          <xdr:cNvSpPr>
            <a:spLocks/>
          </xdr:cNvSpPr>
        </xdr:nvSpPr>
        <xdr:spPr>
          <a:xfrm>
            <a:off x="1544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17"/>
          <xdr:cNvSpPr>
            <a:spLocks/>
          </xdr:cNvSpPr>
        </xdr:nvSpPr>
        <xdr:spPr>
          <a:xfrm>
            <a:off x="1558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18"/>
          <xdr:cNvSpPr>
            <a:spLocks/>
          </xdr:cNvSpPr>
        </xdr:nvSpPr>
        <xdr:spPr>
          <a:xfrm>
            <a:off x="1572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19"/>
          <xdr:cNvSpPr>
            <a:spLocks/>
          </xdr:cNvSpPr>
        </xdr:nvSpPr>
        <xdr:spPr>
          <a:xfrm>
            <a:off x="1586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20"/>
          <xdr:cNvSpPr>
            <a:spLocks/>
          </xdr:cNvSpPr>
        </xdr:nvSpPr>
        <xdr:spPr>
          <a:xfrm>
            <a:off x="1600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21"/>
          <xdr:cNvSpPr>
            <a:spLocks/>
          </xdr:cNvSpPr>
        </xdr:nvSpPr>
        <xdr:spPr>
          <a:xfrm>
            <a:off x="1614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22"/>
          <xdr:cNvSpPr>
            <a:spLocks/>
          </xdr:cNvSpPr>
        </xdr:nvSpPr>
        <xdr:spPr>
          <a:xfrm>
            <a:off x="16280000" y="5040000"/>
            <a:ext cx="19992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23"/>
          <xdr:cNvSpPr>
            <a:spLocks/>
          </xdr:cNvSpPr>
        </xdr:nvSpPr>
        <xdr:spPr>
          <a:xfrm>
            <a:off x="16420000" y="5040000"/>
            <a:ext cx="140000" cy="1600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24"/>
          <xdr:cNvSpPr>
            <a:spLocks/>
          </xdr:cNvSpPr>
        </xdr:nvSpPr>
        <xdr:spPr>
          <a:xfrm flipH="1">
            <a:off x="1552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25"/>
          <xdr:cNvSpPr>
            <a:spLocks/>
          </xdr:cNvSpPr>
        </xdr:nvSpPr>
        <xdr:spPr>
          <a:xfrm flipH="1">
            <a:off x="1566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26"/>
          <xdr:cNvSpPr>
            <a:spLocks/>
          </xdr:cNvSpPr>
        </xdr:nvSpPr>
        <xdr:spPr>
          <a:xfrm flipH="1">
            <a:off x="1580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27"/>
          <xdr:cNvSpPr>
            <a:spLocks/>
          </xdr:cNvSpPr>
        </xdr:nvSpPr>
        <xdr:spPr>
          <a:xfrm flipH="1">
            <a:off x="1594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28"/>
          <xdr:cNvSpPr>
            <a:spLocks/>
          </xdr:cNvSpPr>
        </xdr:nvSpPr>
        <xdr:spPr>
          <a:xfrm flipH="1">
            <a:off x="1608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29"/>
          <xdr:cNvSpPr>
            <a:spLocks/>
          </xdr:cNvSpPr>
        </xdr:nvSpPr>
        <xdr:spPr>
          <a:xfrm flipH="1">
            <a:off x="1622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30"/>
          <xdr:cNvSpPr>
            <a:spLocks/>
          </xdr:cNvSpPr>
        </xdr:nvSpPr>
        <xdr:spPr>
          <a:xfrm flipH="1">
            <a:off x="16360080" y="5040000"/>
            <a:ext cx="180040" cy="2400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31"/>
          <xdr:cNvSpPr>
            <a:spLocks/>
          </xdr:cNvSpPr>
        </xdr:nvSpPr>
        <xdr:spPr>
          <a:xfrm flipH="1">
            <a:off x="16500080" y="5200020"/>
            <a:ext cx="59920" cy="799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32"/>
          <xdr:cNvSpPr>
            <a:spLocks/>
          </xdr:cNvSpPr>
        </xdr:nvSpPr>
        <xdr:spPr>
          <a:xfrm>
            <a:off x="15440000" y="5200020"/>
            <a:ext cx="59920" cy="799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33"/>
          <xdr:cNvSpPr>
            <a:spLocks/>
          </xdr:cNvSpPr>
        </xdr:nvSpPr>
        <xdr:spPr>
          <a:xfrm flipH="1">
            <a:off x="15440000" y="5040000"/>
            <a:ext cx="120120" cy="1600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11</xdr:row>
      <xdr:rowOff>104775</xdr:rowOff>
    </xdr:from>
    <xdr:to>
      <xdr:col>26</xdr:col>
      <xdr:colOff>133350</xdr:colOff>
      <xdr:row>26</xdr:row>
      <xdr:rowOff>38100</xdr:rowOff>
    </xdr:to>
    <xdr:grpSp>
      <xdr:nvGrpSpPr>
        <xdr:cNvPr id="60" name="Group 136"/>
        <xdr:cNvGrpSpPr>
          <a:grpSpLocks/>
        </xdr:cNvGrpSpPr>
      </xdr:nvGrpSpPr>
      <xdr:grpSpPr>
        <a:xfrm>
          <a:off x="723900" y="1771650"/>
          <a:ext cx="4124325" cy="2219325"/>
          <a:chOff x="76" y="186"/>
          <a:chExt cx="433" cy="234"/>
        </a:xfrm>
        <a:solidFill>
          <a:srgbClr val="FFFFFF"/>
        </a:solidFill>
      </xdr:grpSpPr>
      <xdr:grpSp>
        <xdr:nvGrpSpPr>
          <xdr:cNvPr id="61" name="Group 137"/>
          <xdr:cNvGrpSpPr>
            <a:grpSpLocks/>
          </xdr:cNvGrpSpPr>
        </xdr:nvGrpSpPr>
        <xdr:grpSpPr>
          <a:xfrm>
            <a:off x="446" y="356"/>
            <a:ext cx="12" cy="16"/>
            <a:chOff x="9000000" y="7120000"/>
            <a:chExt cx="240000" cy="320000"/>
          </a:xfrm>
          <a:solidFill>
            <a:srgbClr val="FFFFFF"/>
          </a:solidFill>
        </xdr:grpSpPr>
        <xdr:sp>
          <xdr:nvSpPr>
            <xdr:cNvPr id="62" name="Line 138"/>
            <xdr:cNvSpPr>
              <a:spLocks/>
            </xdr:cNvSpPr>
          </xdr:nvSpPr>
          <xdr:spPr>
            <a:xfrm>
              <a:off x="9000000" y="7280000"/>
              <a:ext cx="24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139"/>
            <xdr:cNvSpPr>
              <a:spLocks/>
            </xdr:cNvSpPr>
          </xdr:nvSpPr>
          <xdr:spPr>
            <a:xfrm flipH="1" flipV="1">
              <a:off x="9240000" y="7120000"/>
              <a:ext cx="0" cy="32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4" name="Group 140"/>
          <xdr:cNvGrpSpPr>
            <a:grpSpLocks/>
          </xdr:cNvGrpSpPr>
        </xdr:nvGrpSpPr>
        <xdr:grpSpPr>
          <a:xfrm>
            <a:off x="209" y="211"/>
            <a:ext cx="237" cy="163"/>
            <a:chOff x="4260000" y="4220000"/>
            <a:chExt cx="4740000" cy="3260000"/>
          </a:xfrm>
          <a:solidFill>
            <a:srgbClr val="FFFFFF"/>
          </a:solidFill>
        </xdr:grpSpPr>
        <xdr:sp>
          <xdr:nvSpPr>
            <xdr:cNvPr id="65" name="Rectangle 141"/>
            <xdr:cNvSpPr>
              <a:spLocks/>
            </xdr:cNvSpPr>
          </xdr:nvSpPr>
          <xdr:spPr>
            <a:xfrm>
              <a:off x="4260000" y="4599790"/>
              <a:ext cx="4740000" cy="288021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142"/>
            <xdr:cNvSpPr>
              <a:spLocks/>
            </xdr:cNvSpPr>
          </xdr:nvSpPr>
          <xdr:spPr>
            <a:xfrm flipV="1">
              <a:off x="4260000" y="4220000"/>
              <a:ext cx="2379480" cy="37979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143"/>
            <xdr:cNvSpPr>
              <a:spLocks/>
            </xdr:cNvSpPr>
          </xdr:nvSpPr>
          <xdr:spPr>
            <a:xfrm flipH="1" flipV="1">
              <a:off x="6639480" y="4220000"/>
              <a:ext cx="2360520" cy="37979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8" name="Rectangle 144"/>
          <xdr:cNvSpPr>
            <a:spLocks/>
          </xdr:cNvSpPr>
        </xdr:nvSpPr>
        <xdr:spPr>
          <a:xfrm>
            <a:off x="202" y="374"/>
            <a:ext cx="251" cy="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9" name="Group 145"/>
          <xdr:cNvGrpSpPr>
            <a:grpSpLocks/>
          </xdr:cNvGrpSpPr>
        </xdr:nvGrpSpPr>
        <xdr:grpSpPr>
          <a:xfrm>
            <a:off x="446" y="315"/>
            <a:ext cx="12" cy="16"/>
            <a:chOff x="9000000" y="6580000"/>
            <a:chExt cx="240000" cy="320000"/>
          </a:xfrm>
          <a:solidFill>
            <a:srgbClr val="FFFFFF"/>
          </a:solidFill>
        </xdr:grpSpPr>
        <xdr:sp>
          <xdr:nvSpPr>
            <xdr:cNvPr id="70" name="Line 146"/>
            <xdr:cNvSpPr>
              <a:spLocks/>
            </xdr:cNvSpPr>
          </xdr:nvSpPr>
          <xdr:spPr>
            <a:xfrm>
              <a:off x="9000000" y="6740000"/>
              <a:ext cx="24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147"/>
            <xdr:cNvSpPr>
              <a:spLocks/>
            </xdr:cNvSpPr>
          </xdr:nvSpPr>
          <xdr:spPr>
            <a:xfrm flipH="1" flipV="1">
              <a:off x="9240000" y="6580000"/>
              <a:ext cx="0" cy="32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2" name="Group 148"/>
          <xdr:cNvGrpSpPr>
            <a:grpSpLocks/>
          </xdr:cNvGrpSpPr>
        </xdr:nvGrpSpPr>
        <xdr:grpSpPr>
          <a:xfrm>
            <a:off x="251" y="341"/>
            <a:ext cx="24" cy="33"/>
            <a:chOff x="4900000" y="6820000"/>
            <a:chExt cx="480000" cy="660000"/>
          </a:xfrm>
          <a:solidFill>
            <a:srgbClr val="FFFFFF"/>
          </a:solidFill>
        </xdr:grpSpPr>
        <xdr:sp>
          <xdr:nvSpPr>
            <xdr:cNvPr id="73" name="Line 149"/>
            <xdr:cNvSpPr>
              <a:spLocks/>
            </xdr:cNvSpPr>
          </xdr:nvSpPr>
          <xdr:spPr>
            <a:xfrm>
              <a:off x="4900000" y="6939955"/>
              <a:ext cx="0" cy="5400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150"/>
            <xdr:cNvSpPr>
              <a:spLocks/>
            </xdr:cNvSpPr>
          </xdr:nvSpPr>
          <xdr:spPr>
            <a:xfrm>
              <a:off x="5340040" y="7000015"/>
              <a:ext cx="0" cy="4799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rc 151"/>
            <xdr:cNvSpPr>
              <a:spLocks/>
            </xdr:cNvSpPr>
          </xdr:nvSpPr>
          <xdr:spPr>
            <a:xfrm>
              <a:off x="5100040" y="6820000"/>
              <a:ext cx="240000" cy="18001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rc 152"/>
            <xdr:cNvSpPr>
              <a:spLocks/>
            </xdr:cNvSpPr>
          </xdr:nvSpPr>
          <xdr:spPr>
            <a:xfrm flipH="1">
              <a:off x="4900000" y="6820000"/>
              <a:ext cx="200040" cy="9999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rc 153"/>
            <xdr:cNvSpPr>
              <a:spLocks/>
            </xdr:cNvSpPr>
          </xdr:nvSpPr>
          <xdr:spPr>
            <a:xfrm>
              <a:off x="5140000" y="6820000"/>
              <a:ext cx="240000" cy="180015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154"/>
            <xdr:cNvSpPr>
              <a:spLocks/>
            </xdr:cNvSpPr>
          </xdr:nvSpPr>
          <xdr:spPr>
            <a:xfrm>
              <a:off x="5380000" y="7000015"/>
              <a:ext cx="0" cy="4799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9" name="Text 858"/>
          <xdr:cNvSpPr txBox="1">
            <a:spLocks noChangeArrowheads="1"/>
          </xdr:cNvSpPr>
        </xdr:nvSpPr>
        <xdr:spPr>
          <a:xfrm>
            <a:off x="290" y="289"/>
            <a:ext cx="67" cy="4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48" X 48"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FLUSH CLEANOUT</a:t>
            </a:r>
          </a:p>
        </xdr:txBody>
      </xdr:sp>
      <xdr:grpSp>
        <xdr:nvGrpSpPr>
          <xdr:cNvPr id="80" name="Group 156"/>
          <xdr:cNvGrpSpPr>
            <a:grpSpLocks/>
          </xdr:cNvGrpSpPr>
        </xdr:nvGrpSpPr>
        <xdr:grpSpPr>
          <a:xfrm>
            <a:off x="196" y="278"/>
            <a:ext cx="12" cy="16"/>
            <a:chOff x="3980000" y="5860000"/>
            <a:chExt cx="240000" cy="320000"/>
          </a:xfrm>
          <a:solidFill>
            <a:srgbClr val="FFFFFF"/>
          </a:solidFill>
        </xdr:grpSpPr>
        <xdr:sp>
          <xdr:nvSpPr>
            <xdr:cNvPr id="81" name="Line 157"/>
            <xdr:cNvSpPr>
              <a:spLocks/>
            </xdr:cNvSpPr>
          </xdr:nvSpPr>
          <xdr:spPr>
            <a:xfrm flipH="1">
              <a:off x="3980000" y="6020000"/>
              <a:ext cx="24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158"/>
            <xdr:cNvSpPr>
              <a:spLocks/>
            </xdr:cNvSpPr>
          </xdr:nvSpPr>
          <xdr:spPr>
            <a:xfrm flipH="1" flipV="1">
              <a:off x="3980000" y="5860000"/>
              <a:ext cx="0" cy="32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3" name="Line 159"/>
          <xdr:cNvSpPr>
            <a:spLocks/>
          </xdr:cNvSpPr>
        </xdr:nvSpPr>
        <xdr:spPr>
          <a:xfrm flipH="1">
            <a:off x="174" y="319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4" name="Group 160"/>
          <xdr:cNvGrpSpPr>
            <a:grpSpLocks/>
          </xdr:cNvGrpSpPr>
        </xdr:nvGrpSpPr>
        <xdr:grpSpPr>
          <a:xfrm>
            <a:off x="197" y="311"/>
            <a:ext cx="12" cy="16"/>
            <a:chOff x="4020000" y="6460000"/>
            <a:chExt cx="240000" cy="320000"/>
          </a:xfrm>
          <a:solidFill>
            <a:srgbClr val="FFFFFF"/>
          </a:solidFill>
        </xdr:grpSpPr>
        <xdr:sp>
          <xdr:nvSpPr>
            <xdr:cNvPr id="85" name="Line 161"/>
            <xdr:cNvSpPr>
              <a:spLocks/>
            </xdr:cNvSpPr>
          </xdr:nvSpPr>
          <xdr:spPr>
            <a:xfrm flipH="1">
              <a:off x="4020000" y="6620000"/>
              <a:ext cx="24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162"/>
            <xdr:cNvSpPr>
              <a:spLocks/>
            </xdr:cNvSpPr>
          </xdr:nvSpPr>
          <xdr:spPr>
            <a:xfrm flipH="1" flipV="1">
              <a:off x="4020000" y="6460000"/>
              <a:ext cx="0" cy="32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7" name="Line 163"/>
          <xdr:cNvSpPr>
            <a:spLocks/>
          </xdr:cNvSpPr>
        </xdr:nvSpPr>
        <xdr:spPr>
          <a:xfrm flipH="1">
            <a:off x="173" y="360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8" name="Group 164"/>
          <xdr:cNvGrpSpPr>
            <a:grpSpLocks/>
          </xdr:cNvGrpSpPr>
        </xdr:nvGrpSpPr>
        <xdr:grpSpPr>
          <a:xfrm>
            <a:off x="197" y="352"/>
            <a:ext cx="12" cy="16"/>
            <a:chOff x="4020000" y="7040000"/>
            <a:chExt cx="240000" cy="320000"/>
          </a:xfrm>
          <a:solidFill>
            <a:srgbClr val="FFFFFF"/>
          </a:solidFill>
        </xdr:grpSpPr>
        <xdr:sp>
          <xdr:nvSpPr>
            <xdr:cNvPr id="89" name="Line 165"/>
            <xdr:cNvSpPr>
              <a:spLocks/>
            </xdr:cNvSpPr>
          </xdr:nvSpPr>
          <xdr:spPr>
            <a:xfrm flipH="1">
              <a:off x="4020000" y="7200000"/>
              <a:ext cx="24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166"/>
            <xdr:cNvSpPr>
              <a:spLocks/>
            </xdr:cNvSpPr>
          </xdr:nvSpPr>
          <xdr:spPr>
            <a:xfrm flipH="1" flipV="1">
              <a:off x="4020000" y="7040000"/>
              <a:ext cx="0" cy="32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1" name="Group 167"/>
          <xdr:cNvGrpSpPr>
            <a:grpSpLocks/>
          </xdr:cNvGrpSpPr>
        </xdr:nvGrpSpPr>
        <xdr:grpSpPr>
          <a:xfrm>
            <a:off x="416" y="215"/>
            <a:ext cx="15" cy="11"/>
            <a:chOff x="7980000" y="4220000"/>
            <a:chExt cx="300000" cy="220000"/>
          </a:xfrm>
          <a:solidFill>
            <a:srgbClr val="FFFFFF"/>
          </a:solidFill>
        </xdr:grpSpPr>
        <xdr:sp>
          <xdr:nvSpPr>
            <xdr:cNvPr id="92" name="Line 168"/>
            <xdr:cNvSpPr>
              <a:spLocks/>
            </xdr:cNvSpPr>
          </xdr:nvSpPr>
          <xdr:spPr>
            <a:xfrm flipH="1">
              <a:off x="7980000" y="4220000"/>
              <a:ext cx="30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169"/>
            <xdr:cNvSpPr>
              <a:spLocks/>
            </xdr:cNvSpPr>
          </xdr:nvSpPr>
          <xdr:spPr>
            <a:xfrm flipH="1" flipV="1">
              <a:off x="8120025" y="4240020"/>
              <a:ext cx="0" cy="1999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4" name="Line 170"/>
          <xdr:cNvSpPr>
            <a:spLocks/>
          </xdr:cNvSpPr>
        </xdr:nvSpPr>
        <xdr:spPr>
          <a:xfrm flipH="1">
            <a:off x="76" y="374"/>
            <a:ext cx="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71"/>
          <xdr:cNvSpPr>
            <a:spLocks/>
          </xdr:cNvSpPr>
        </xdr:nvSpPr>
        <xdr:spPr>
          <a:xfrm flipH="1">
            <a:off x="77" y="230"/>
            <a:ext cx="1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Text 922"/>
          <xdr:cNvSpPr txBox="1">
            <a:spLocks noChangeArrowheads="1"/>
          </xdr:cNvSpPr>
        </xdr:nvSpPr>
        <xdr:spPr>
          <a:xfrm>
            <a:off x="257" y="351"/>
            <a:ext cx="1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97" name="Oval 173"/>
          <xdr:cNvSpPr>
            <a:spLocks/>
          </xdr:cNvSpPr>
        </xdr:nvSpPr>
        <xdr:spPr>
          <a:xfrm>
            <a:off x="205" y="186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98" name="Rectangle 174"/>
          <xdr:cNvSpPr>
            <a:spLocks/>
          </xdr:cNvSpPr>
        </xdr:nvSpPr>
        <xdr:spPr>
          <a:xfrm>
            <a:off x="212" y="374"/>
            <a:ext cx="32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75"/>
          <xdr:cNvSpPr>
            <a:spLocks/>
          </xdr:cNvSpPr>
        </xdr:nvSpPr>
        <xdr:spPr>
          <a:xfrm>
            <a:off x="209" y="36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76"/>
          <xdr:cNvSpPr>
            <a:spLocks/>
          </xdr:cNvSpPr>
        </xdr:nvSpPr>
        <xdr:spPr>
          <a:xfrm flipH="1">
            <a:off x="224" y="361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1" name="Group 177"/>
          <xdr:cNvGrpSpPr>
            <a:grpSpLocks/>
          </xdr:cNvGrpSpPr>
        </xdr:nvGrpSpPr>
        <xdr:grpSpPr>
          <a:xfrm>
            <a:off x="321" y="201"/>
            <a:ext cx="14" cy="10"/>
            <a:chOff x="298" y="200"/>
            <a:chExt cx="14" cy="10"/>
          </a:xfrm>
          <a:solidFill>
            <a:srgbClr val="FFFFFF"/>
          </a:solidFill>
        </xdr:grpSpPr>
        <xdr:sp>
          <xdr:nvSpPr>
            <xdr:cNvPr id="102" name="Line 178"/>
            <xdr:cNvSpPr>
              <a:spLocks/>
            </xdr:cNvSpPr>
          </xdr:nvSpPr>
          <xdr:spPr>
            <a:xfrm flipH="1">
              <a:off x="298" y="20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79"/>
            <xdr:cNvSpPr>
              <a:spLocks/>
            </xdr:cNvSpPr>
          </xdr:nvSpPr>
          <xdr:spPr>
            <a:xfrm flipH="1" flipV="1">
              <a:off x="305" y="200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80"/>
          <xdr:cNvGrpSpPr>
            <a:grpSpLocks/>
          </xdr:cNvGrpSpPr>
        </xdr:nvGrpSpPr>
        <xdr:grpSpPr>
          <a:xfrm>
            <a:off x="259" y="211"/>
            <a:ext cx="14" cy="10"/>
            <a:chOff x="298" y="200"/>
            <a:chExt cx="14" cy="10"/>
          </a:xfrm>
          <a:solidFill>
            <a:srgbClr val="FFFFFF"/>
          </a:solidFill>
        </xdr:grpSpPr>
        <xdr:sp>
          <xdr:nvSpPr>
            <xdr:cNvPr id="105" name="Line 181"/>
            <xdr:cNvSpPr>
              <a:spLocks/>
            </xdr:cNvSpPr>
          </xdr:nvSpPr>
          <xdr:spPr>
            <a:xfrm flipH="1">
              <a:off x="298" y="20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82"/>
            <xdr:cNvSpPr>
              <a:spLocks/>
            </xdr:cNvSpPr>
          </xdr:nvSpPr>
          <xdr:spPr>
            <a:xfrm flipH="1" flipV="1">
              <a:off x="305" y="200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7" name="Group 183"/>
          <xdr:cNvGrpSpPr>
            <a:grpSpLocks/>
          </xdr:cNvGrpSpPr>
        </xdr:nvGrpSpPr>
        <xdr:grpSpPr>
          <a:xfrm>
            <a:off x="211" y="217"/>
            <a:ext cx="14" cy="11"/>
            <a:chOff x="298" y="200"/>
            <a:chExt cx="14" cy="10"/>
          </a:xfrm>
          <a:solidFill>
            <a:srgbClr val="FFFFFF"/>
          </a:solidFill>
        </xdr:grpSpPr>
        <xdr:sp>
          <xdr:nvSpPr>
            <xdr:cNvPr id="108" name="Line 184"/>
            <xdr:cNvSpPr>
              <a:spLocks/>
            </xdr:cNvSpPr>
          </xdr:nvSpPr>
          <xdr:spPr>
            <a:xfrm flipH="1">
              <a:off x="298" y="200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185"/>
            <xdr:cNvSpPr>
              <a:spLocks/>
            </xdr:cNvSpPr>
          </xdr:nvSpPr>
          <xdr:spPr>
            <a:xfrm flipH="1" flipV="1">
              <a:off x="305" y="200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0" name="Oval 186"/>
          <xdr:cNvSpPr>
            <a:spLocks/>
          </xdr:cNvSpPr>
        </xdr:nvSpPr>
        <xdr:spPr>
          <a:xfrm>
            <a:off x="314" y="171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</a:t>
            </a:r>
          </a:p>
        </xdr:txBody>
      </xdr:sp>
      <xdr:sp>
        <xdr:nvSpPr>
          <xdr:cNvPr id="111" name="Oval 187"/>
          <xdr:cNvSpPr>
            <a:spLocks/>
          </xdr:cNvSpPr>
        </xdr:nvSpPr>
        <xdr:spPr>
          <a:xfrm>
            <a:off x="253" y="181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112" name="Oval 188"/>
          <xdr:cNvSpPr>
            <a:spLocks/>
          </xdr:cNvSpPr>
        </xdr:nvSpPr>
        <xdr:spPr>
          <a:xfrm>
            <a:off x="409" y="186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113" name="Oval 189"/>
          <xdr:cNvSpPr>
            <a:spLocks/>
          </xdr:cNvSpPr>
        </xdr:nvSpPr>
        <xdr:spPr>
          <a:xfrm>
            <a:off x="376" y="31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</a:p>
        </xdr:txBody>
      </xdr:sp>
      <xdr:sp>
        <xdr:nvSpPr>
          <xdr:cNvPr id="114" name="Line 190"/>
          <xdr:cNvSpPr>
            <a:spLocks/>
          </xdr:cNvSpPr>
        </xdr:nvSpPr>
        <xdr:spPr>
          <a:xfrm flipV="1">
            <a:off x="95" y="230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91"/>
          <xdr:cNvSpPr>
            <a:spLocks/>
          </xdr:cNvSpPr>
        </xdr:nvSpPr>
        <xdr:spPr>
          <a:xfrm flipV="1">
            <a:off x="94" y="311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92"/>
          <xdr:cNvSpPr>
            <a:spLocks/>
          </xdr:cNvSpPr>
        </xdr:nvSpPr>
        <xdr:spPr>
          <a:xfrm>
            <a:off x="368" y="263"/>
            <a:ext cx="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93"/>
          <xdr:cNvSpPr>
            <a:spLocks/>
          </xdr:cNvSpPr>
        </xdr:nvSpPr>
        <xdr:spPr>
          <a:xfrm>
            <a:off x="209" y="263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8" name="Group 194"/>
          <xdr:cNvGrpSpPr>
            <a:grpSpLocks/>
          </xdr:cNvGrpSpPr>
        </xdr:nvGrpSpPr>
        <xdr:grpSpPr>
          <a:xfrm>
            <a:off x="455" y="350"/>
            <a:ext cx="51" cy="28"/>
            <a:chOff x="469" y="365"/>
            <a:chExt cx="51" cy="28"/>
          </a:xfrm>
          <a:solidFill>
            <a:srgbClr val="FFFFFF"/>
          </a:solidFill>
        </xdr:grpSpPr>
        <xdr:sp>
          <xdr:nvSpPr>
            <xdr:cNvPr id="119" name="Line 195"/>
            <xdr:cNvSpPr>
              <a:spLocks/>
            </xdr:cNvSpPr>
          </xdr:nvSpPr>
          <xdr:spPr>
            <a:xfrm flipH="1">
              <a:off x="469" y="379"/>
              <a:ext cx="2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Oval 196"/>
            <xdr:cNvSpPr>
              <a:spLocks/>
            </xdr:cNvSpPr>
          </xdr:nvSpPr>
          <xdr:spPr>
            <a:xfrm>
              <a:off x="492" y="365"/>
              <a:ext cx="28" cy="2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grpSp>
        <xdr:nvGrpSpPr>
          <xdr:cNvPr id="121" name="Group 197"/>
          <xdr:cNvGrpSpPr>
            <a:grpSpLocks/>
          </xdr:cNvGrpSpPr>
        </xdr:nvGrpSpPr>
        <xdr:grpSpPr>
          <a:xfrm>
            <a:off x="455" y="310"/>
            <a:ext cx="52" cy="28"/>
            <a:chOff x="461" y="324"/>
            <a:chExt cx="52" cy="28"/>
          </a:xfrm>
          <a:solidFill>
            <a:srgbClr val="FFFFFF"/>
          </a:solidFill>
        </xdr:grpSpPr>
        <xdr:sp>
          <xdr:nvSpPr>
            <xdr:cNvPr id="122" name="Line 198"/>
            <xdr:cNvSpPr>
              <a:spLocks/>
            </xdr:cNvSpPr>
          </xdr:nvSpPr>
          <xdr:spPr>
            <a:xfrm flipH="1">
              <a:off x="461" y="337"/>
              <a:ext cx="2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Oval 199"/>
            <xdr:cNvSpPr>
              <a:spLocks/>
            </xdr:cNvSpPr>
          </xdr:nvSpPr>
          <xdr:spPr>
            <a:xfrm>
              <a:off x="485" y="324"/>
              <a:ext cx="28" cy="2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</a:t>
              </a:r>
            </a:p>
          </xdr:txBody>
        </xdr:sp>
      </xdr:grpSp>
      <xdr:sp>
        <xdr:nvSpPr>
          <xdr:cNvPr id="124" name="Oval 200"/>
          <xdr:cNvSpPr>
            <a:spLocks/>
          </xdr:cNvSpPr>
        </xdr:nvSpPr>
        <xdr:spPr>
          <a:xfrm>
            <a:off x="145" y="345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125" name="Oval 201"/>
          <xdr:cNvSpPr>
            <a:spLocks/>
          </xdr:cNvSpPr>
        </xdr:nvSpPr>
        <xdr:spPr>
          <a:xfrm>
            <a:off x="147" y="305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26" name="Oval 202"/>
          <xdr:cNvSpPr>
            <a:spLocks/>
          </xdr:cNvSpPr>
        </xdr:nvSpPr>
        <xdr:spPr>
          <a:xfrm>
            <a:off x="481" y="267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grpSp>
        <xdr:nvGrpSpPr>
          <xdr:cNvPr id="127" name="Group 203"/>
          <xdr:cNvGrpSpPr>
            <a:grpSpLocks/>
          </xdr:cNvGrpSpPr>
        </xdr:nvGrpSpPr>
        <xdr:grpSpPr>
          <a:xfrm>
            <a:off x="311" y="362"/>
            <a:ext cx="28" cy="58"/>
            <a:chOff x="311" y="362"/>
            <a:chExt cx="28" cy="58"/>
          </a:xfrm>
          <a:solidFill>
            <a:srgbClr val="FFFFFF"/>
          </a:solidFill>
        </xdr:grpSpPr>
        <xdr:sp>
          <xdr:nvSpPr>
            <xdr:cNvPr id="128" name="Oval 204"/>
            <xdr:cNvSpPr>
              <a:spLocks/>
            </xdr:cNvSpPr>
          </xdr:nvSpPr>
          <xdr:spPr>
            <a:xfrm>
              <a:off x="321" y="362"/>
              <a:ext cx="7" cy="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Oval 205"/>
            <xdr:cNvSpPr>
              <a:spLocks/>
            </xdr:cNvSpPr>
          </xdr:nvSpPr>
          <xdr:spPr>
            <a:xfrm>
              <a:off x="311" y="392"/>
              <a:ext cx="28" cy="2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130" name="Line 206"/>
            <xdr:cNvSpPr>
              <a:spLocks/>
            </xdr:cNvSpPr>
          </xdr:nvSpPr>
          <xdr:spPr>
            <a:xfrm>
              <a:off x="325" y="369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207"/>
          <xdr:cNvGrpSpPr>
            <a:grpSpLocks/>
          </xdr:cNvGrpSpPr>
        </xdr:nvGrpSpPr>
        <xdr:grpSpPr>
          <a:xfrm>
            <a:off x="269" y="362"/>
            <a:ext cx="28" cy="58"/>
            <a:chOff x="269" y="362"/>
            <a:chExt cx="28" cy="58"/>
          </a:xfrm>
          <a:solidFill>
            <a:srgbClr val="FFFFFF"/>
          </a:solidFill>
        </xdr:grpSpPr>
        <xdr:sp>
          <xdr:nvSpPr>
            <xdr:cNvPr id="132" name="Oval 208"/>
            <xdr:cNvSpPr>
              <a:spLocks/>
            </xdr:cNvSpPr>
          </xdr:nvSpPr>
          <xdr:spPr>
            <a:xfrm>
              <a:off x="279" y="36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Oval 209"/>
            <xdr:cNvSpPr>
              <a:spLocks/>
            </xdr:cNvSpPr>
          </xdr:nvSpPr>
          <xdr:spPr>
            <a:xfrm>
              <a:off x="269" y="392"/>
              <a:ext cx="28" cy="2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134" name="Line 210"/>
            <xdr:cNvSpPr>
              <a:spLocks/>
            </xdr:cNvSpPr>
          </xdr:nvSpPr>
          <xdr:spPr>
            <a:xfrm>
              <a:off x="283" y="370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5" name="Group 211"/>
          <xdr:cNvGrpSpPr>
            <a:grpSpLocks/>
          </xdr:cNvGrpSpPr>
        </xdr:nvGrpSpPr>
        <xdr:grpSpPr>
          <a:xfrm>
            <a:off x="356" y="362"/>
            <a:ext cx="28" cy="58"/>
            <a:chOff x="356" y="362"/>
            <a:chExt cx="28" cy="58"/>
          </a:xfrm>
          <a:solidFill>
            <a:srgbClr val="FFFFFF"/>
          </a:solidFill>
        </xdr:grpSpPr>
        <xdr:sp>
          <xdr:nvSpPr>
            <xdr:cNvPr id="136" name="Oval 212"/>
            <xdr:cNvSpPr>
              <a:spLocks/>
            </xdr:cNvSpPr>
          </xdr:nvSpPr>
          <xdr:spPr>
            <a:xfrm>
              <a:off x="366" y="36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Oval 213"/>
            <xdr:cNvSpPr>
              <a:spLocks/>
            </xdr:cNvSpPr>
          </xdr:nvSpPr>
          <xdr:spPr>
            <a:xfrm>
              <a:off x="356" y="392"/>
              <a:ext cx="28" cy="2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</a:t>
              </a:r>
            </a:p>
          </xdr:txBody>
        </xdr:sp>
        <xdr:sp>
          <xdr:nvSpPr>
            <xdr:cNvPr id="138" name="Line 214"/>
            <xdr:cNvSpPr>
              <a:spLocks/>
            </xdr:cNvSpPr>
          </xdr:nvSpPr>
          <xdr:spPr>
            <a:xfrm>
              <a:off x="370" y="370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9" name="Group 215"/>
          <xdr:cNvGrpSpPr>
            <a:grpSpLocks/>
          </xdr:cNvGrpSpPr>
        </xdr:nvGrpSpPr>
        <xdr:grpSpPr>
          <a:xfrm>
            <a:off x="393" y="361"/>
            <a:ext cx="28" cy="58"/>
            <a:chOff x="393" y="361"/>
            <a:chExt cx="28" cy="58"/>
          </a:xfrm>
          <a:solidFill>
            <a:srgbClr val="FFFFFF"/>
          </a:solidFill>
        </xdr:grpSpPr>
        <xdr:sp>
          <xdr:nvSpPr>
            <xdr:cNvPr id="140" name="Oval 216"/>
            <xdr:cNvSpPr>
              <a:spLocks/>
            </xdr:cNvSpPr>
          </xdr:nvSpPr>
          <xdr:spPr>
            <a:xfrm>
              <a:off x="403" y="361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Oval 217"/>
            <xdr:cNvSpPr>
              <a:spLocks/>
            </xdr:cNvSpPr>
          </xdr:nvSpPr>
          <xdr:spPr>
            <a:xfrm>
              <a:off x="393" y="391"/>
              <a:ext cx="28" cy="2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</a:t>
              </a:r>
            </a:p>
          </xdr:txBody>
        </xdr:sp>
        <xdr:sp>
          <xdr:nvSpPr>
            <xdr:cNvPr id="142" name="Line 218"/>
            <xdr:cNvSpPr>
              <a:spLocks/>
            </xdr:cNvSpPr>
          </xdr:nvSpPr>
          <xdr:spPr>
            <a:xfrm>
              <a:off x="407" y="369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3" name="Group 219"/>
          <xdr:cNvGrpSpPr>
            <a:grpSpLocks/>
          </xdr:cNvGrpSpPr>
        </xdr:nvGrpSpPr>
        <xdr:grpSpPr>
          <a:xfrm>
            <a:off x="446" y="272"/>
            <a:ext cx="12" cy="16"/>
            <a:chOff x="9000000" y="6580000"/>
            <a:chExt cx="240000" cy="320000"/>
          </a:xfrm>
          <a:solidFill>
            <a:srgbClr val="FFFFFF"/>
          </a:solidFill>
        </xdr:grpSpPr>
        <xdr:sp>
          <xdr:nvSpPr>
            <xdr:cNvPr id="144" name="Line 220"/>
            <xdr:cNvSpPr>
              <a:spLocks/>
            </xdr:cNvSpPr>
          </xdr:nvSpPr>
          <xdr:spPr>
            <a:xfrm>
              <a:off x="9000000" y="6740000"/>
              <a:ext cx="24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Line 221"/>
            <xdr:cNvSpPr>
              <a:spLocks/>
            </xdr:cNvSpPr>
          </xdr:nvSpPr>
          <xdr:spPr>
            <a:xfrm flipH="1" flipV="1">
              <a:off x="9240000" y="6580000"/>
              <a:ext cx="0" cy="32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6" name="Line 222"/>
          <xdr:cNvSpPr>
            <a:spLocks/>
          </xdr:cNvSpPr>
        </xdr:nvSpPr>
        <xdr:spPr>
          <a:xfrm flipH="1">
            <a:off x="457" y="280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9</xdr:row>
      <xdr:rowOff>133350</xdr:rowOff>
    </xdr:from>
    <xdr:to>
      <xdr:col>66</xdr:col>
      <xdr:colOff>171450</xdr:colOff>
      <xdr:row>37</xdr:row>
      <xdr:rowOff>123825</xdr:rowOff>
    </xdr:to>
    <xdr:grpSp>
      <xdr:nvGrpSpPr>
        <xdr:cNvPr id="147" name="Group 223"/>
        <xdr:cNvGrpSpPr>
          <a:grpSpLocks/>
        </xdr:cNvGrpSpPr>
      </xdr:nvGrpSpPr>
      <xdr:grpSpPr>
        <a:xfrm>
          <a:off x="9705975" y="1495425"/>
          <a:ext cx="2419350" cy="4257675"/>
          <a:chOff x="845" y="159"/>
          <a:chExt cx="254" cy="447"/>
        </a:xfrm>
        <a:solidFill>
          <a:srgbClr val="FFFFFF"/>
        </a:solidFill>
      </xdr:grpSpPr>
      <xdr:sp>
        <xdr:nvSpPr>
          <xdr:cNvPr id="148" name="Text 560"/>
          <xdr:cNvSpPr txBox="1">
            <a:spLocks noChangeArrowheads="1"/>
          </xdr:cNvSpPr>
        </xdr:nvSpPr>
        <xdr:spPr>
          <a:xfrm>
            <a:off x="845" y="362"/>
            <a:ext cx="14" cy="8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8'-0" S-S</a:t>
            </a:r>
          </a:p>
        </xdr:txBody>
      </xdr:sp>
      <xdr:sp>
        <xdr:nvSpPr>
          <xdr:cNvPr id="149" name="Text 562"/>
          <xdr:cNvSpPr txBox="1">
            <a:spLocks noChangeArrowheads="1"/>
          </xdr:cNvSpPr>
        </xdr:nvSpPr>
        <xdr:spPr>
          <a:xfrm>
            <a:off x="846" y="536"/>
            <a:ext cx="13" cy="4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Min.</a:t>
            </a:r>
          </a:p>
        </xdr:txBody>
      </xdr:sp>
      <xdr:sp>
        <xdr:nvSpPr>
          <xdr:cNvPr id="150" name="Line 226"/>
          <xdr:cNvSpPr>
            <a:spLocks/>
          </xdr:cNvSpPr>
        </xdr:nvSpPr>
        <xdr:spPr>
          <a:xfrm>
            <a:off x="980" y="215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548"/>
          <xdr:cNvSpPr txBox="1">
            <a:spLocks noChangeArrowheads="1"/>
          </xdr:cNvSpPr>
        </xdr:nvSpPr>
        <xdr:spPr>
          <a:xfrm>
            <a:off x="961" y="568"/>
            <a:ext cx="40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228"/>
          <xdr:cNvSpPr>
            <a:spLocks/>
          </xdr:cNvSpPr>
        </xdr:nvSpPr>
        <xdr:spPr>
          <a:xfrm flipH="1">
            <a:off x="938" y="508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229"/>
          <xdr:cNvSpPr>
            <a:spLocks/>
          </xdr:cNvSpPr>
        </xdr:nvSpPr>
        <xdr:spPr>
          <a:xfrm flipH="1">
            <a:off x="925" y="496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30"/>
          <xdr:cNvSpPr>
            <a:spLocks/>
          </xdr:cNvSpPr>
        </xdr:nvSpPr>
        <xdr:spPr>
          <a:xfrm>
            <a:off x="919" y="604"/>
            <a:ext cx="28" cy="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231"/>
          <xdr:cNvSpPr>
            <a:spLocks/>
          </xdr:cNvSpPr>
        </xdr:nvSpPr>
        <xdr:spPr>
          <a:xfrm flipV="1">
            <a:off x="925" y="482"/>
            <a:ext cx="13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6" name="Group 232"/>
          <xdr:cNvGrpSpPr>
            <a:grpSpLocks/>
          </xdr:cNvGrpSpPr>
        </xdr:nvGrpSpPr>
        <xdr:grpSpPr>
          <a:xfrm>
            <a:off x="938" y="270"/>
            <a:ext cx="85" cy="18"/>
            <a:chOff x="18840000" y="5400000"/>
            <a:chExt cx="1700000" cy="360000"/>
          </a:xfrm>
          <a:solidFill>
            <a:srgbClr val="FFFFFF"/>
          </a:solidFill>
        </xdr:grpSpPr>
        <xdr:sp>
          <xdr:nvSpPr>
            <xdr:cNvPr id="157" name="Arc 233"/>
            <xdr:cNvSpPr>
              <a:spLocks/>
            </xdr:cNvSpPr>
          </xdr:nvSpPr>
          <xdr:spPr>
            <a:xfrm flipH="1">
              <a:off x="18840000" y="5400000"/>
              <a:ext cx="839800" cy="36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rc 234"/>
            <xdr:cNvSpPr>
              <a:spLocks/>
            </xdr:cNvSpPr>
          </xdr:nvSpPr>
          <xdr:spPr>
            <a:xfrm>
              <a:off x="19679800" y="5400000"/>
              <a:ext cx="860200" cy="36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9" name="Line 235"/>
          <xdr:cNvSpPr>
            <a:spLocks/>
          </xdr:cNvSpPr>
        </xdr:nvSpPr>
        <xdr:spPr>
          <a:xfrm>
            <a:off x="940" y="288"/>
            <a:ext cx="78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0" name="Group 236"/>
          <xdr:cNvGrpSpPr>
            <a:grpSpLocks/>
          </xdr:cNvGrpSpPr>
        </xdr:nvGrpSpPr>
        <xdr:grpSpPr>
          <a:xfrm>
            <a:off x="938" y="508"/>
            <a:ext cx="85" cy="20"/>
            <a:chOff x="18840000" y="10160000"/>
            <a:chExt cx="1700000" cy="400000"/>
          </a:xfrm>
          <a:solidFill>
            <a:srgbClr val="FFFFFF"/>
          </a:solidFill>
        </xdr:grpSpPr>
        <xdr:sp>
          <xdr:nvSpPr>
            <xdr:cNvPr id="161" name="Arc 237"/>
            <xdr:cNvSpPr>
              <a:spLocks/>
            </xdr:cNvSpPr>
          </xdr:nvSpPr>
          <xdr:spPr>
            <a:xfrm flipH="1" flipV="1">
              <a:off x="18840000" y="10160000"/>
              <a:ext cx="839800" cy="40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Arc 238"/>
            <xdr:cNvSpPr>
              <a:spLocks/>
            </xdr:cNvSpPr>
          </xdr:nvSpPr>
          <xdr:spPr>
            <a:xfrm flipV="1">
              <a:off x="19679800" y="10160000"/>
              <a:ext cx="860200" cy="40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3" name="Line 239"/>
          <xdr:cNvSpPr>
            <a:spLocks/>
          </xdr:cNvSpPr>
        </xdr:nvSpPr>
        <xdr:spPr>
          <a:xfrm>
            <a:off x="940" y="508"/>
            <a:ext cx="78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240"/>
          <xdr:cNvSpPr>
            <a:spLocks/>
          </xdr:cNvSpPr>
        </xdr:nvSpPr>
        <xdr:spPr>
          <a:xfrm>
            <a:off x="938" y="288"/>
            <a:ext cx="0" cy="2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241"/>
          <xdr:cNvSpPr>
            <a:spLocks/>
          </xdr:cNvSpPr>
        </xdr:nvSpPr>
        <xdr:spPr>
          <a:xfrm>
            <a:off x="1023" y="288"/>
            <a:ext cx="0" cy="2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242"/>
          <xdr:cNvSpPr>
            <a:spLocks/>
          </xdr:cNvSpPr>
        </xdr:nvSpPr>
        <xdr:spPr>
          <a:xfrm>
            <a:off x="938" y="412"/>
            <a:ext cx="85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488"/>
          <xdr:cNvSpPr txBox="1">
            <a:spLocks noChangeArrowheads="1"/>
          </xdr:cNvSpPr>
        </xdr:nvSpPr>
        <xdr:spPr>
          <a:xfrm>
            <a:off x="957" y="396"/>
            <a:ext cx="49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4'-0" OD</a:t>
            </a:r>
          </a:p>
        </xdr:txBody>
      </xdr:sp>
      <xdr:sp>
        <xdr:nvSpPr>
          <xdr:cNvPr id="168" name="Line 244"/>
          <xdr:cNvSpPr>
            <a:spLocks/>
          </xdr:cNvSpPr>
        </xdr:nvSpPr>
        <xdr:spPr>
          <a:xfrm flipH="1">
            <a:off x="852" y="290"/>
            <a:ext cx="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245"/>
          <xdr:cNvSpPr>
            <a:spLocks/>
          </xdr:cNvSpPr>
        </xdr:nvSpPr>
        <xdr:spPr>
          <a:xfrm flipH="1">
            <a:off x="852" y="508"/>
            <a:ext cx="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246"/>
          <xdr:cNvSpPr>
            <a:spLocks/>
          </xdr:cNvSpPr>
        </xdr:nvSpPr>
        <xdr:spPr>
          <a:xfrm flipH="1">
            <a:off x="849" y="606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247"/>
          <xdr:cNvSpPr>
            <a:spLocks/>
          </xdr:cNvSpPr>
        </xdr:nvSpPr>
        <xdr:spPr>
          <a:xfrm flipH="1">
            <a:off x="860" y="508"/>
            <a:ext cx="0" cy="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248"/>
          <xdr:cNvSpPr>
            <a:spLocks/>
          </xdr:cNvSpPr>
        </xdr:nvSpPr>
        <xdr:spPr>
          <a:xfrm>
            <a:off x="860" y="290"/>
            <a:ext cx="0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3" name="Group 249"/>
          <xdr:cNvGrpSpPr>
            <a:grpSpLocks/>
          </xdr:cNvGrpSpPr>
        </xdr:nvGrpSpPr>
        <xdr:grpSpPr>
          <a:xfrm>
            <a:off x="963" y="528"/>
            <a:ext cx="32" cy="20"/>
            <a:chOff x="19340000" y="10560000"/>
            <a:chExt cx="640000" cy="400000"/>
          </a:xfrm>
          <a:solidFill>
            <a:srgbClr val="FFFFFF"/>
          </a:solidFill>
        </xdr:grpSpPr>
        <xdr:sp>
          <xdr:nvSpPr>
            <xdr:cNvPr id="174" name="Line 250"/>
            <xdr:cNvSpPr>
              <a:spLocks/>
            </xdr:cNvSpPr>
          </xdr:nvSpPr>
          <xdr:spPr>
            <a:xfrm flipV="1">
              <a:off x="19680000" y="10560000"/>
              <a:ext cx="0" cy="40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251"/>
            <xdr:cNvSpPr>
              <a:spLocks/>
            </xdr:cNvSpPr>
          </xdr:nvSpPr>
          <xdr:spPr>
            <a:xfrm>
              <a:off x="19340000" y="10960000"/>
              <a:ext cx="64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" name="Group 252"/>
          <xdr:cNvGrpSpPr>
            <a:grpSpLocks/>
          </xdr:cNvGrpSpPr>
        </xdr:nvGrpSpPr>
        <xdr:grpSpPr>
          <a:xfrm>
            <a:off x="1040" y="177"/>
            <a:ext cx="32" cy="20"/>
            <a:chOff x="19340000" y="4680000"/>
            <a:chExt cx="640000" cy="400000"/>
          </a:xfrm>
          <a:solidFill>
            <a:srgbClr val="FFFFFF"/>
          </a:solidFill>
        </xdr:grpSpPr>
        <xdr:sp>
          <xdr:nvSpPr>
            <xdr:cNvPr id="177" name="Line 253"/>
            <xdr:cNvSpPr>
              <a:spLocks/>
            </xdr:cNvSpPr>
          </xdr:nvSpPr>
          <xdr:spPr>
            <a:xfrm>
              <a:off x="19680000" y="4680000"/>
              <a:ext cx="0" cy="40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254"/>
            <xdr:cNvSpPr>
              <a:spLocks/>
            </xdr:cNvSpPr>
          </xdr:nvSpPr>
          <xdr:spPr>
            <a:xfrm>
              <a:off x="19340000" y="4680000"/>
              <a:ext cx="64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9" name="Group 255"/>
          <xdr:cNvGrpSpPr>
            <a:grpSpLocks/>
          </xdr:cNvGrpSpPr>
        </xdr:nvGrpSpPr>
        <xdr:grpSpPr>
          <a:xfrm>
            <a:off x="1023" y="482"/>
            <a:ext cx="21" cy="28"/>
            <a:chOff x="20540000" y="9640000"/>
            <a:chExt cx="420000" cy="560000"/>
          </a:xfrm>
          <a:solidFill>
            <a:srgbClr val="FFFFFF"/>
          </a:solidFill>
        </xdr:grpSpPr>
        <xdr:sp>
          <xdr:nvSpPr>
            <xdr:cNvPr id="180" name="Line 256"/>
            <xdr:cNvSpPr>
              <a:spLocks/>
            </xdr:cNvSpPr>
          </xdr:nvSpPr>
          <xdr:spPr>
            <a:xfrm>
              <a:off x="20540000" y="9920000"/>
              <a:ext cx="42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Line 257"/>
            <xdr:cNvSpPr>
              <a:spLocks/>
            </xdr:cNvSpPr>
          </xdr:nvSpPr>
          <xdr:spPr>
            <a:xfrm flipH="1" flipV="1">
              <a:off x="20960000" y="9640000"/>
              <a:ext cx="0" cy="56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2" name="Group 258"/>
          <xdr:cNvGrpSpPr>
            <a:grpSpLocks/>
          </xdr:cNvGrpSpPr>
        </xdr:nvGrpSpPr>
        <xdr:grpSpPr>
          <a:xfrm>
            <a:off x="921" y="450"/>
            <a:ext cx="17" cy="30"/>
            <a:chOff x="18500000" y="9000000"/>
            <a:chExt cx="340000" cy="600000"/>
          </a:xfrm>
          <a:solidFill>
            <a:srgbClr val="FFFFFF"/>
          </a:solidFill>
        </xdr:grpSpPr>
        <xdr:sp>
          <xdr:nvSpPr>
            <xdr:cNvPr id="183" name="Line 259"/>
            <xdr:cNvSpPr>
              <a:spLocks/>
            </xdr:cNvSpPr>
          </xdr:nvSpPr>
          <xdr:spPr>
            <a:xfrm flipH="1">
              <a:off x="18500000" y="9280050"/>
              <a:ext cx="34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260"/>
            <xdr:cNvSpPr>
              <a:spLocks/>
            </xdr:cNvSpPr>
          </xdr:nvSpPr>
          <xdr:spPr>
            <a:xfrm flipH="1" flipV="1">
              <a:off x="18500000" y="9000000"/>
              <a:ext cx="0" cy="60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5" name="Line 261"/>
          <xdr:cNvSpPr>
            <a:spLocks/>
          </xdr:cNvSpPr>
        </xdr:nvSpPr>
        <xdr:spPr>
          <a:xfrm>
            <a:off x="917" y="450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262"/>
          <xdr:cNvSpPr>
            <a:spLocks/>
          </xdr:cNvSpPr>
        </xdr:nvSpPr>
        <xdr:spPr>
          <a:xfrm>
            <a:off x="869" y="372"/>
            <a:ext cx="23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263"/>
          <xdr:cNvSpPr>
            <a:spLocks/>
          </xdr:cNvSpPr>
        </xdr:nvSpPr>
        <xdr:spPr>
          <a:xfrm>
            <a:off x="892" y="38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534"/>
          <xdr:cNvSpPr txBox="1">
            <a:spLocks noChangeArrowheads="1"/>
          </xdr:cNvSpPr>
        </xdr:nvSpPr>
        <xdr:spPr>
          <a:xfrm>
            <a:off x="874" y="376"/>
            <a:ext cx="13" cy="1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89" name="Oval 265"/>
          <xdr:cNvSpPr>
            <a:spLocks/>
          </xdr:cNvSpPr>
        </xdr:nvSpPr>
        <xdr:spPr>
          <a:xfrm>
            <a:off x="1072" y="391"/>
            <a:ext cx="27" cy="2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540"/>
          <xdr:cNvSpPr txBox="1">
            <a:spLocks noChangeArrowheads="1"/>
          </xdr:cNvSpPr>
        </xdr:nvSpPr>
        <xdr:spPr>
          <a:xfrm>
            <a:off x="1076" y="396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8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91" name="Line 267"/>
          <xdr:cNvSpPr>
            <a:spLocks/>
          </xdr:cNvSpPr>
        </xdr:nvSpPr>
        <xdr:spPr>
          <a:xfrm>
            <a:off x="1047" y="40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268"/>
          <xdr:cNvSpPr>
            <a:spLocks/>
          </xdr:cNvSpPr>
        </xdr:nvSpPr>
        <xdr:spPr>
          <a:xfrm>
            <a:off x="1072" y="482"/>
            <a:ext cx="27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Text 543"/>
          <xdr:cNvSpPr txBox="1">
            <a:spLocks noChangeArrowheads="1"/>
          </xdr:cNvSpPr>
        </xdr:nvSpPr>
        <xdr:spPr>
          <a:xfrm>
            <a:off x="1076" y="488"/>
            <a:ext cx="18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8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94" name="Line 270"/>
          <xdr:cNvSpPr>
            <a:spLocks/>
          </xdr:cNvSpPr>
        </xdr:nvSpPr>
        <xdr:spPr>
          <a:xfrm>
            <a:off x="1047" y="496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271"/>
          <xdr:cNvSpPr>
            <a:spLocks/>
          </xdr:cNvSpPr>
        </xdr:nvSpPr>
        <xdr:spPr>
          <a:xfrm>
            <a:off x="968" y="568"/>
            <a:ext cx="25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546"/>
          <xdr:cNvSpPr txBox="1">
            <a:spLocks noChangeArrowheads="1"/>
          </xdr:cNvSpPr>
        </xdr:nvSpPr>
        <xdr:spPr>
          <a:xfrm>
            <a:off x="974" y="574"/>
            <a:ext cx="13" cy="1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97" name="Line 273"/>
          <xdr:cNvSpPr>
            <a:spLocks/>
          </xdr:cNvSpPr>
        </xdr:nvSpPr>
        <xdr:spPr>
          <a:xfrm>
            <a:off x="980" y="552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274"/>
          <xdr:cNvSpPr>
            <a:spLocks/>
          </xdr:cNvSpPr>
        </xdr:nvSpPr>
        <xdr:spPr>
          <a:xfrm>
            <a:off x="869" y="452"/>
            <a:ext cx="23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275"/>
          <xdr:cNvSpPr>
            <a:spLocks/>
          </xdr:cNvSpPr>
        </xdr:nvSpPr>
        <xdr:spPr>
          <a:xfrm>
            <a:off x="893" y="464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Text 551"/>
          <xdr:cNvSpPr txBox="1">
            <a:spLocks noChangeArrowheads="1"/>
          </xdr:cNvSpPr>
        </xdr:nvSpPr>
        <xdr:spPr>
          <a:xfrm>
            <a:off x="873" y="457"/>
            <a:ext cx="15" cy="1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  <a:r>
              <a:rPr lang="en-US" cap="none" sz="8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grpSp>
        <xdr:nvGrpSpPr>
          <xdr:cNvPr id="201" name="Group 277"/>
          <xdr:cNvGrpSpPr>
            <a:grpSpLocks/>
          </xdr:cNvGrpSpPr>
        </xdr:nvGrpSpPr>
        <xdr:grpSpPr>
          <a:xfrm>
            <a:off x="1023" y="391"/>
            <a:ext cx="21" cy="27"/>
            <a:chOff x="20540000" y="7820000"/>
            <a:chExt cx="420000" cy="540000"/>
          </a:xfrm>
          <a:solidFill>
            <a:srgbClr val="FFFFFF"/>
          </a:solidFill>
        </xdr:grpSpPr>
        <xdr:sp>
          <xdr:nvSpPr>
            <xdr:cNvPr id="202" name="Line 278"/>
            <xdr:cNvSpPr>
              <a:spLocks/>
            </xdr:cNvSpPr>
          </xdr:nvSpPr>
          <xdr:spPr>
            <a:xfrm>
              <a:off x="20540000" y="8080010"/>
              <a:ext cx="42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Line 279"/>
            <xdr:cNvSpPr>
              <a:spLocks/>
            </xdr:cNvSpPr>
          </xdr:nvSpPr>
          <xdr:spPr>
            <a:xfrm flipH="1" flipV="1">
              <a:off x="20960000" y="7820000"/>
              <a:ext cx="0" cy="5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4" name="Group 280"/>
          <xdr:cNvGrpSpPr>
            <a:grpSpLocks/>
          </xdr:cNvGrpSpPr>
        </xdr:nvGrpSpPr>
        <xdr:grpSpPr>
          <a:xfrm>
            <a:off x="921" y="370"/>
            <a:ext cx="17" cy="30"/>
            <a:chOff x="18500000" y="7400000"/>
            <a:chExt cx="340000" cy="600000"/>
          </a:xfrm>
          <a:solidFill>
            <a:srgbClr val="FFFFFF"/>
          </a:solidFill>
        </xdr:grpSpPr>
        <xdr:sp>
          <xdr:nvSpPr>
            <xdr:cNvPr id="205" name="Line 281"/>
            <xdr:cNvSpPr>
              <a:spLocks/>
            </xdr:cNvSpPr>
          </xdr:nvSpPr>
          <xdr:spPr>
            <a:xfrm flipH="1">
              <a:off x="18500000" y="7680050"/>
              <a:ext cx="34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Line 282"/>
            <xdr:cNvSpPr>
              <a:spLocks/>
            </xdr:cNvSpPr>
          </xdr:nvSpPr>
          <xdr:spPr>
            <a:xfrm flipH="1" flipV="1">
              <a:off x="18500000" y="7400000"/>
              <a:ext cx="0" cy="60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7" name="Line 283"/>
          <xdr:cNvSpPr>
            <a:spLocks/>
          </xdr:cNvSpPr>
        </xdr:nvSpPr>
        <xdr:spPr>
          <a:xfrm flipV="1">
            <a:off x="907" y="384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284"/>
          <xdr:cNvSpPr>
            <a:spLocks/>
          </xdr:cNvSpPr>
        </xdr:nvSpPr>
        <xdr:spPr>
          <a:xfrm flipV="1">
            <a:off x="1056" y="404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85"/>
          <xdr:cNvSpPr>
            <a:spLocks/>
          </xdr:cNvSpPr>
        </xdr:nvSpPr>
        <xdr:spPr>
          <a:xfrm flipV="1">
            <a:off x="1056" y="496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" name="Group 286"/>
          <xdr:cNvGrpSpPr>
            <a:grpSpLocks/>
          </xdr:cNvGrpSpPr>
        </xdr:nvGrpSpPr>
        <xdr:grpSpPr>
          <a:xfrm>
            <a:off x="952" y="288"/>
            <a:ext cx="55" cy="12"/>
            <a:chOff x="19120000" y="5760000"/>
            <a:chExt cx="1100000" cy="240000"/>
          </a:xfrm>
          <a:solidFill>
            <a:srgbClr val="FFFFFF"/>
          </a:solidFill>
        </xdr:grpSpPr>
        <xdr:sp>
          <xdr:nvSpPr>
            <xdr:cNvPr id="211" name="Line 287"/>
            <xdr:cNvSpPr>
              <a:spLocks/>
            </xdr:cNvSpPr>
          </xdr:nvSpPr>
          <xdr:spPr>
            <a:xfrm>
              <a:off x="19120000" y="5760000"/>
              <a:ext cx="110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288"/>
            <xdr:cNvSpPr>
              <a:spLocks/>
            </xdr:cNvSpPr>
          </xdr:nvSpPr>
          <xdr:spPr>
            <a:xfrm>
              <a:off x="19120000" y="6000000"/>
              <a:ext cx="11000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289"/>
            <xdr:cNvSpPr>
              <a:spLocks/>
            </xdr:cNvSpPr>
          </xdr:nvSpPr>
          <xdr:spPr>
            <a:xfrm>
              <a:off x="19120000" y="5760000"/>
              <a:ext cx="199925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290"/>
            <xdr:cNvSpPr>
              <a:spLocks/>
            </xdr:cNvSpPr>
          </xdr:nvSpPr>
          <xdr:spPr>
            <a:xfrm>
              <a:off x="19259975" y="5760000"/>
              <a:ext cx="199925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291"/>
            <xdr:cNvSpPr>
              <a:spLocks/>
            </xdr:cNvSpPr>
          </xdr:nvSpPr>
          <xdr:spPr>
            <a:xfrm>
              <a:off x="19399950" y="5760000"/>
              <a:ext cx="220000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292"/>
            <xdr:cNvSpPr>
              <a:spLocks/>
            </xdr:cNvSpPr>
          </xdr:nvSpPr>
          <xdr:spPr>
            <a:xfrm>
              <a:off x="19560000" y="5760000"/>
              <a:ext cx="180125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293"/>
            <xdr:cNvSpPr>
              <a:spLocks/>
            </xdr:cNvSpPr>
          </xdr:nvSpPr>
          <xdr:spPr>
            <a:xfrm>
              <a:off x="19679900" y="5760000"/>
              <a:ext cx="199925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Line 294"/>
            <xdr:cNvSpPr>
              <a:spLocks/>
            </xdr:cNvSpPr>
          </xdr:nvSpPr>
          <xdr:spPr>
            <a:xfrm>
              <a:off x="19819875" y="5760000"/>
              <a:ext cx="199925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Line 295"/>
            <xdr:cNvSpPr>
              <a:spLocks/>
            </xdr:cNvSpPr>
          </xdr:nvSpPr>
          <xdr:spPr>
            <a:xfrm>
              <a:off x="19979925" y="5760000"/>
              <a:ext cx="180125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Line 296"/>
            <xdr:cNvSpPr>
              <a:spLocks/>
            </xdr:cNvSpPr>
          </xdr:nvSpPr>
          <xdr:spPr>
            <a:xfrm>
              <a:off x="20100100" y="5760000"/>
              <a:ext cx="119900" cy="1600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Line 297"/>
            <xdr:cNvSpPr>
              <a:spLocks/>
            </xdr:cNvSpPr>
          </xdr:nvSpPr>
          <xdr:spPr>
            <a:xfrm flipH="1">
              <a:off x="19220100" y="5760000"/>
              <a:ext cx="180125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Line 298"/>
            <xdr:cNvSpPr>
              <a:spLocks/>
            </xdr:cNvSpPr>
          </xdr:nvSpPr>
          <xdr:spPr>
            <a:xfrm flipH="1">
              <a:off x="19340000" y="5760000"/>
              <a:ext cx="199925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299"/>
            <xdr:cNvSpPr>
              <a:spLocks/>
            </xdr:cNvSpPr>
          </xdr:nvSpPr>
          <xdr:spPr>
            <a:xfrm flipH="1">
              <a:off x="19459900" y="5760000"/>
              <a:ext cx="220000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Line 300"/>
            <xdr:cNvSpPr>
              <a:spLocks/>
            </xdr:cNvSpPr>
          </xdr:nvSpPr>
          <xdr:spPr>
            <a:xfrm flipH="1">
              <a:off x="19640025" y="5760000"/>
              <a:ext cx="180125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301"/>
            <xdr:cNvSpPr>
              <a:spLocks/>
            </xdr:cNvSpPr>
          </xdr:nvSpPr>
          <xdr:spPr>
            <a:xfrm flipH="1">
              <a:off x="19780000" y="5760000"/>
              <a:ext cx="160050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Line 302"/>
            <xdr:cNvSpPr>
              <a:spLocks/>
            </xdr:cNvSpPr>
          </xdr:nvSpPr>
          <xdr:spPr>
            <a:xfrm flipH="1">
              <a:off x="19919975" y="5760000"/>
              <a:ext cx="139975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Line 303"/>
            <xdr:cNvSpPr>
              <a:spLocks/>
            </xdr:cNvSpPr>
          </xdr:nvSpPr>
          <xdr:spPr>
            <a:xfrm flipH="1">
              <a:off x="20059950" y="5760000"/>
              <a:ext cx="160050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Line 304"/>
            <xdr:cNvSpPr>
              <a:spLocks/>
            </xdr:cNvSpPr>
          </xdr:nvSpPr>
          <xdr:spPr>
            <a:xfrm flipH="1">
              <a:off x="20180125" y="5920020"/>
              <a:ext cx="39875" cy="799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Line 305"/>
            <xdr:cNvSpPr>
              <a:spLocks/>
            </xdr:cNvSpPr>
          </xdr:nvSpPr>
          <xdr:spPr>
            <a:xfrm>
              <a:off x="19120000" y="5920020"/>
              <a:ext cx="80025" cy="799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Line 306"/>
            <xdr:cNvSpPr>
              <a:spLocks/>
            </xdr:cNvSpPr>
          </xdr:nvSpPr>
          <xdr:spPr>
            <a:xfrm flipH="1">
              <a:off x="19120000" y="5760000"/>
              <a:ext cx="139975" cy="1600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307"/>
            <xdr:cNvSpPr>
              <a:spLocks/>
            </xdr:cNvSpPr>
          </xdr:nvSpPr>
          <xdr:spPr>
            <a:xfrm>
              <a:off x="19120000" y="5760000"/>
              <a:ext cx="0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308"/>
            <xdr:cNvSpPr>
              <a:spLocks/>
            </xdr:cNvSpPr>
          </xdr:nvSpPr>
          <xdr:spPr>
            <a:xfrm>
              <a:off x="20220000" y="5760000"/>
              <a:ext cx="0" cy="2400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3" name="Line 309"/>
          <xdr:cNvSpPr>
            <a:spLocks/>
          </xdr:cNvSpPr>
        </xdr:nvSpPr>
        <xdr:spPr>
          <a:xfrm flipH="1">
            <a:off x="938" y="30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310"/>
          <xdr:cNvSpPr>
            <a:spLocks/>
          </xdr:cNvSpPr>
        </xdr:nvSpPr>
        <xdr:spPr>
          <a:xfrm flipH="1">
            <a:off x="1006" y="301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311"/>
          <xdr:cNvSpPr>
            <a:spLocks/>
          </xdr:cNvSpPr>
        </xdr:nvSpPr>
        <xdr:spPr>
          <a:xfrm flipV="1">
            <a:off x="968" y="25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312"/>
          <xdr:cNvSpPr>
            <a:spLocks/>
          </xdr:cNvSpPr>
        </xdr:nvSpPr>
        <xdr:spPr>
          <a:xfrm flipV="1">
            <a:off x="992" y="25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Text 641"/>
          <xdr:cNvSpPr txBox="1">
            <a:spLocks noChangeArrowheads="1"/>
          </xdr:cNvSpPr>
        </xdr:nvSpPr>
        <xdr:spPr>
          <a:xfrm>
            <a:off x="1011" y="204"/>
            <a:ext cx="8" cy="1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314"/>
          <xdr:cNvSpPr>
            <a:spLocks/>
          </xdr:cNvSpPr>
        </xdr:nvSpPr>
        <xdr:spPr>
          <a:xfrm>
            <a:off x="961" y="253"/>
            <a:ext cx="37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15"/>
          <xdr:cNvSpPr>
            <a:spLocks/>
          </xdr:cNvSpPr>
        </xdr:nvSpPr>
        <xdr:spPr>
          <a:xfrm>
            <a:off x="980" y="211"/>
            <a:ext cx="0" cy="382"/>
          </a:xfrm>
          <a:prstGeom prst="line">
            <a:avLst/>
          </a:prstGeom>
          <a:noFill/>
          <a:ln w="1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316"/>
          <xdr:cNvSpPr>
            <a:spLocks/>
          </xdr:cNvSpPr>
        </xdr:nvSpPr>
        <xdr:spPr>
          <a:xfrm>
            <a:off x="969" y="268"/>
            <a:ext cx="22" cy="4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317"/>
          <xdr:cNvSpPr>
            <a:spLocks/>
          </xdr:cNvSpPr>
        </xdr:nvSpPr>
        <xdr:spPr>
          <a:xfrm>
            <a:off x="963" y="192"/>
            <a:ext cx="31" cy="3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42" name="Oval 318"/>
          <xdr:cNvSpPr>
            <a:spLocks/>
          </xdr:cNvSpPr>
        </xdr:nvSpPr>
        <xdr:spPr>
          <a:xfrm>
            <a:off x="964" y="159"/>
            <a:ext cx="31" cy="3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37</xdr:row>
      <xdr:rowOff>28575</xdr:rowOff>
    </xdr:from>
    <xdr:to>
      <xdr:col>8</xdr:col>
      <xdr:colOff>142875</xdr:colOff>
      <xdr:row>51</xdr:row>
      <xdr:rowOff>95250</xdr:rowOff>
    </xdr:to>
    <xdr:grpSp>
      <xdr:nvGrpSpPr>
        <xdr:cNvPr id="1" name="Group 35"/>
        <xdr:cNvGrpSpPr>
          <a:grpSpLocks/>
        </xdr:cNvGrpSpPr>
      </xdr:nvGrpSpPr>
      <xdr:grpSpPr>
        <a:xfrm>
          <a:off x="476250" y="6153150"/>
          <a:ext cx="4581525" cy="2324100"/>
          <a:chOff x="56" y="631"/>
          <a:chExt cx="481" cy="275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 flipH="1" flipV="1">
            <a:off x="315" y="867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7"/>
          <xdr:cNvGrpSpPr>
            <a:grpSpLocks/>
          </xdr:cNvGrpSpPr>
        </xdr:nvGrpSpPr>
        <xdr:grpSpPr>
          <a:xfrm>
            <a:off x="76" y="730"/>
            <a:ext cx="196" cy="176"/>
            <a:chOff x="192" y="694"/>
            <a:chExt cx="196" cy="153"/>
          </a:xfrm>
          <a:solidFill>
            <a:srgbClr val="FFFFFF"/>
          </a:solidFill>
        </xdr:grpSpPr>
        <xdr:sp>
          <xdr:nvSpPr>
            <xdr:cNvPr id="4" name="Line 3"/>
            <xdr:cNvSpPr>
              <a:spLocks/>
            </xdr:cNvSpPr>
          </xdr:nvSpPr>
          <xdr:spPr>
            <a:xfrm>
              <a:off x="255" y="694"/>
              <a:ext cx="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"/>
            <xdr:cNvSpPr>
              <a:spLocks/>
            </xdr:cNvSpPr>
          </xdr:nvSpPr>
          <xdr:spPr>
            <a:xfrm>
              <a:off x="324" y="694"/>
              <a:ext cx="0" cy="1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>
              <a:off x="256" y="695"/>
              <a:ext cx="0" cy="1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192" y="813"/>
              <a:ext cx="196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Rectangle 8"/>
          <xdr:cNvSpPr>
            <a:spLocks/>
          </xdr:cNvSpPr>
        </xdr:nvSpPr>
        <xdr:spPr>
          <a:xfrm>
            <a:off x="170" y="631"/>
            <a:ext cx="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6" y="726"/>
            <a:ext cx="119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240" y="729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273" y="86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 flipV="1">
            <a:off x="316" y="770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7"/>
          <xdr:cNvSpPr>
            <a:spLocks/>
          </xdr:cNvSpPr>
        </xdr:nvSpPr>
        <xdr:spPr>
          <a:xfrm>
            <a:off x="209" y="770"/>
            <a:ext cx="158" cy="0"/>
          </a:xfrm>
          <a:prstGeom prst="line">
            <a:avLst/>
          </a:prstGeom>
          <a:noFill/>
          <a:ln w="57150" cmpd="thickThin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8"/>
          <xdr:cNvSpPr>
            <a:spLocks/>
          </xdr:cNvSpPr>
        </xdr:nvSpPr>
        <xdr:spPr>
          <a:xfrm flipV="1">
            <a:off x="315" y="730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9"/>
          <xdr:cNvSpPr txBox="1">
            <a:spLocks noChangeArrowheads="1"/>
          </xdr:cNvSpPr>
        </xdr:nvSpPr>
        <xdr:spPr>
          <a:xfrm>
            <a:off x="305" y="878"/>
            <a:ext cx="2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12"</a:t>
            </a:r>
          </a:p>
        </xdr:txBody>
      </xdr:sp>
      <xdr:sp>
        <xdr:nvSpPr>
          <xdr:cNvPr id="16" name="Text Box 20"/>
          <xdr:cNvSpPr txBox="1">
            <a:spLocks noChangeArrowheads="1"/>
          </xdr:cNvSpPr>
        </xdr:nvSpPr>
        <xdr:spPr>
          <a:xfrm>
            <a:off x="306" y="810"/>
            <a:ext cx="23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48"</a:t>
            </a:r>
          </a:p>
        </xdr:txBody>
      </xdr:sp>
      <xdr:sp>
        <xdr:nvSpPr>
          <xdr:cNvPr id="17" name="Text Box 21"/>
          <xdr:cNvSpPr txBox="1">
            <a:spLocks noChangeArrowheads="1"/>
          </xdr:cNvSpPr>
        </xdr:nvSpPr>
        <xdr:spPr>
          <a:xfrm>
            <a:off x="305" y="741"/>
            <a:ext cx="23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12"</a:t>
            </a:r>
          </a:p>
        </xdr:txBody>
      </xdr:sp>
      <xdr:sp>
        <xdr:nvSpPr>
          <xdr:cNvPr id="18" name="Line 24"/>
          <xdr:cNvSpPr>
            <a:spLocks/>
          </xdr:cNvSpPr>
        </xdr:nvSpPr>
        <xdr:spPr>
          <a:xfrm>
            <a:off x="275" y="906"/>
            <a:ext cx="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26"/>
          <xdr:cNvSpPr txBox="1">
            <a:spLocks noChangeArrowheads="1"/>
          </xdr:cNvSpPr>
        </xdr:nvSpPr>
        <xdr:spPr>
          <a:xfrm>
            <a:off x="370" y="763"/>
            <a:ext cx="16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of Ground Elevation
</a:t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>
            <a:off x="140" y="79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34"/>
          <xdr:cNvSpPr>
            <a:spLocks/>
          </xdr:cNvSpPr>
        </xdr:nvSpPr>
        <xdr:spPr>
          <a:xfrm rot="16200000">
            <a:off x="162" y="716"/>
            <a:ext cx="8" cy="9"/>
          </a:xfrm>
          <a:prstGeom prst="rtTriangl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3"/>
          <xdr:cNvSpPr txBox="1">
            <a:spLocks noChangeArrowheads="1"/>
          </xdr:cNvSpPr>
        </xdr:nvSpPr>
        <xdr:spPr>
          <a:xfrm>
            <a:off x="158" y="785"/>
            <a:ext cx="23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16"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76200</xdr:rowOff>
    </xdr:from>
    <xdr:to>
      <xdr:col>9</xdr:col>
      <xdr:colOff>523875</xdr:colOff>
      <xdr:row>44</xdr:row>
      <xdr:rowOff>95250</xdr:rowOff>
    </xdr:to>
    <xdr:grpSp>
      <xdr:nvGrpSpPr>
        <xdr:cNvPr id="1" name="Group 82"/>
        <xdr:cNvGrpSpPr>
          <a:grpSpLocks/>
        </xdr:cNvGrpSpPr>
      </xdr:nvGrpSpPr>
      <xdr:grpSpPr>
        <a:xfrm>
          <a:off x="0" y="885825"/>
          <a:ext cx="6010275" cy="6334125"/>
          <a:chOff x="3" y="100"/>
          <a:chExt cx="631" cy="665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31" y="332"/>
            <a:ext cx="320" cy="324"/>
            <a:chOff x="64" y="152"/>
            <a:chExt cx="320" cy="324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192" y="152"/>
              <a:ext cx="63" cy="25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2"/>
            <xdr:cNvSpPr>
              <a:spLocks/>
            </xdr:cNvSpPr>
          </xdr:nvSpPr>
          <xdr:spPr>
            <a:xfrm>
              <a:off x="64" y="408"/>
              <a:ext cx="320" cy="6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Rectangle 4"/>
          <xdr:cNvSpPr>
            <a:spLocks/>
          </xdr:cNvSpPr>
        </xdr:nvSpPr>
        <xdr:spPr>
          <a:xfrm>
            <a:off x="190" y="171"/>
            <a:ext cx="5" cy="1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179" y="328"/>
            <a:ext cx="394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31" y="661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53" y="660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" y="704"/>
            <a:ext cx="3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172" y="715"/>
            <a:ext cx="3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3' - 6"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119" y="677"/>
            <a:ext cx="151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(4) # 9 Bars Eq. Spaced</a:t>
            </a:r>
          </a:p>
        </xdr:txBody>
      </xdr:sp>
      <xdr:grpSp>
        <xdr:nvGrpSpPr>
          <xdr:cNvPr id="12" name="Group 17"/>
          <xdr:cNvGrpSpPr>
            <a:grpSpLocks/>
          </xdr:cNvGrpSpPr>
        </xdr:nvGrpSpPr>
        <xdr:grpSpPr>
          <a:xfrm>
            <a:off x="42" y="631"/>
            <a:ext cx="299" cy="12"/>
            <a:chOff x="73" y="496"/>
            <a:chExt cx="299" cy="12"/>
          </a:xfrm>
          <a:solidFill>
            <a:srgbClr val="FFFFFF"/>
          </a:solidFill>
        </xdr:grpSpPr>
        <xdr:sp>
          <xdr:nvSpPr>
            <xdr:cNvPr id="13" name="Oval 12"/>
            <xdr:cNvSpPr>
              <a:spLocks/>
            </xdr:cNvSpPr>
          </xdr:nvSpPr>
          <xdr:spPr>
            <a:xfrm>
              <a:off x="75" y="496"/>
              <a:ext cx="8" cy="11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3"/>
            <xdr:cNvSpPr>
              <a:spLocks/>
            </xdr:cNvSpPr>
          </xdr:nvSpPr>
          <xdr:spPr>
            <a:xfrm>
              <a:off x="362" y="497"/>
              <a:ext cx="8" cy="11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4"/>
            <xdr:cNvSpPr>
              <a:spLocks/>
            </xdr:cNvSpPr>
          </xdr:nvSpPr>
          <xdr:spPr>
            <a:xfrm>
              <a:off x="281" y="497"/>
              <a:ext cx="8" cy="11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15"/>
            <xdr:cNvSpPr>
              <a:spLocks/>
            </xdr:cNvSpPr>
          </xdr:nvSpPr>
          <xdr:spPr>
            <a:xfrm>
              <a:off x="169" y="497"/>
              <a:ext cx="8" cy="11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6"/>
            <xdr:cNvSpPr>
              <a:spLocks/>
            </xdr:cNvSpPr>
          </xdr:nvSpPr>
          <xdr:spPr>
            <a:xfrm>
              <a:off x="73" y="508"/>
              <a:ext cx="29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25"/>
          <xdr:cNvGrpSpPr>
            <a:grpSpLocks/>
          </xdr:cNvGrpSpPr>
        </xdr:nvGrpSpPr>
        <xdr:grpSpPr>
          <a:xfrm>
            <a:off x="45" y="348"/>
            <a:ext cx="127" cy="268"/>
            <a:chOff x="73" y="203"/>
            <a:chExt cx="128" cy="272"/>
          </a:xfrm>
          <a:solidFill>
            <a:srgbClr val="FFFFFF"/>
          </a:solidFill>
        </xdr:grpSpPr>
        <xdr:sp>
          <xdr:nvSpPr>
            <xdr:cNvPr id="19" name="Line 18"/>
            <xdr:cNvSpPr>
              <a:spLocks/>
            </xdr:cNvSpPr>
          </xdr:nvSpPr>
          <xdr:spPr>
            <a:xfrm>
              <a:off x="201" y="203"/>
              <a:ext cx="0" cy="2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9"/>
            <xdr:cNvSpPr>
              <a:spLocks/>
            </xdr:cNvSpPr>
          </xdr:nvSpPr>
          <xdr:spPr>
            <a:xfrm flipH="1">
              <a:off x="73" y="475"/>
              <a:ext cx="1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" name="Group 24"/>
          <xdr:cNvGrpSpPr>
            <a:grpSpLocks/>
          </xdr:cNvGrpSpPr>
        </xdr:nvGrpSpPr>
        <xdr:grpSpPr>
          <a:xfrm>
            <a:off x="208" y="347"/>
            <a:ext cx="131" cy="270"/>
            <a:chOff x="240" y="207"/>
            <a:chExt cx="130" cy="268"/>
          </a:xfrm>
          <a:solidFill>
            <a:srgbClr val="FFFFFF"/>
          </a:solidFill>
        </xdr:grpSpPr>
        <xdr:sp>
          <xdr:nvSpPr>
            <xdr:cNvPr id="22" name="Line 21"/>
            <xdr:cNvSpPr>
              <a:spLocks/>
            </xdr:cNvSpPr>
          </xdr:nvSpPr>
          <xdr:spPr>
            <a:xfrm flipH="1">
              <a:off x="241" y="207"/>
              <a:ext cx="0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2"/>
            <xdr:cNvSpPr>
              <a:spLocks/>
            </xdr:cNvSpPr>
          </xdr:nvSpPr>
          <xdr:spPr>
            <a:xfrm>
              <a:off x="240" y="474"/>
              <a:ext cx="1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" name="Group 40"/>
          <xdr:cNvGrpSpPr>
            <a:grpSpLocks/>
          </xdr:cNvGrpSpPr>
        </xdr:nvGrpSpPr>
        <xdr:grpSpPr>
          <a:xfrm>
            <a:off x="161" y="342"/>
            <a:ext cx="56" cy="230"/>
            <a:chOff x="193" y="210"/>
            <a:chExt cx="56" cy="230"/>
          </a:xfrm>
          <a:solidFill>
            <a:srgbClr val="FFFFFF"/>
          </a:solidFill>
        </xdr:grpSpPr>
        <xdr:sp>
          <xdr:nvSpPr>
            <xdr:cNvPr id="25" name="AutoShape 28"/>
            <xdr:cNvSpPr>
              <a:spLocks/>
            </xdr:cNvSpPr>
          </xdr:nvSpPr>
          <xdr:spPr>
            <a:xfrm>
              <a:off x="195" y="210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29"/>
            <xdr:cNvSpPr>
              <a:spLocks/>
            </xdr:cNvSpPr>
          </xdr:nvSpPr>
          <xdr:spPr>
            <a:xfrm>
              <a:off x="195" y="245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30"/>
            <xdr:cNvSpPr>
              <a:spLocks/>
            </xdr:cNvSpPr>
          </xdr:nvSpPr>
          <xdr:spPr>
            <a:xfrm>
              <a:off x="194" y="285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31"/>
            <xdr:cNvSpPr>
              <a:spLocks/>
            </xdr:cNvSpPr>
          </xdr:nvSpPr>
          <xdr:spPr>
            <a:xfrm>
              <a:off x="195" y="334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32"/>
            <xdr:cNvSpPr>
              <a:spLocks/>
            </xdr:cNvSpPr>
          </xdr:nvSpPr>
          <xdr:spPr>
            <a:xfrm>
              <a:off x="194" y="376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33"/>
            <xdr:cNvSpPr>
              <a:spLocks/>
            </xdr:cNvSpPr>
          </xdr:nvSpPr>
          <xdr:spPr>
            <a:xfrm>
              <a:off x="193" y="431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34"/>
            <xdr:cNvSpPr>
              <a:spLocks/>
            </xdr:cNvSpPr>
          </xdr:nvSpPr>
          <xdr:spPr>
            <a:xfrm>
              <a:off x="241" y="211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5"/>
            <xdr:cNvSpPr>
              <a:spLocks/>
            </xdr:cNvSpPr>
          </xdr:nvSpPr>
          <xdr:spPr>
            <a:xfrm>
              <a:off x="241" y="246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6"/>
            <xdr:cNvSpPr>
              <a:spLocks/>
            </xdr:cNvSpPr>
          </xdr:nvSpPr>
          <xdr:spPr>
            <a:xfrm>
              <a:off x="240" y="286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7"/>
            <xdr:cNvSpPr>
              <a:spLocks/>
            </xdr:cNvSpPr>
          </xdr:nvSpPr>
          <xdr:spPr>
            <a:xfrm>
              <a:off x="241" y="335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38"/>
            <xdr:cNvSpPr>
              <a:spLocks/>
            </xdr:cNvSpPr>
          </xdr:nvSpPr>
          <xdr:spPr>
            <a:xfrm>
              <a:off x="240" y="377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9"/>
            <xdr:cNvSpPr>
              <a:spLocks/>
            </xdr:cNvSpPr>
          </xdr:nvSpPr>
          <xdr:spPr>
            <a:xfrm>
              <a:off x="239" y="432"/>
              <a:ext cx="8" cy="8"/>
            </a:xfrm>
            <a:prstGeom prst="octagon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" name="Line 26"/>
          <xdr:cNvSpPr>
            <a:spLocks/>
          </xdr:cNvSpPr>
        </xdr:nvSpPr>
        <xdr:spPr>
          <a:xfrm flipV="1">
            <a:off x="85" y="346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5"/>
          <xdr:cNvSpPr>
            <a:spLocks/>
          </xdr:cNvSpPr>
        </xdr:nvSpPr>
        <xdr:spPr>
          <a:xfrm>
            <a:off x="575" y="100"/>
            <a:ext cx="1" cy="481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46"/>
          <xdr:cNvSpPr txBox="1">
            <a:spLocks noChangeArrowheads="1"/>
          </xdr:cNvSpPr>
        </xdr:nvSpPr>
        <xdr:spPr>
          <a:xfrm>
            <a:off x="513" y="205"/>
            <a:ext cx="12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Line of Tank</a:t>
            </a:r>
          </a:p>
        </xdr:txBody>
      </xdr:sp>
      <xdr:sp>
        <xdr:nvSpPr>
          <xdr:cNvPr id="40" name="Line 48"/>
          <xdr:cNvSpPr>
            <a:spLocks/>
          </xdr:cNvSpPr>
        </xdr:nvSpPr>
        <xdr:spPr>
          <a:xfrm flipV="1">
            <a:off x="192" y="143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9"/>
          <xdr:cNvSpPr>
            <a:spLocks/>
          </xdr:cNvSpPr>
        </xdr:nvSpPr>
        <xdr:spPr>
          <a:xfrm>
            <a:off x="197" y="153"/>
            <a:ext cx="3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50"/>
          <xdr:cNvSpPr txBox="1">
            <a:spLocks noChangeArrowheads="1"/>
          </xdr:cNvSpPr>
        </xdr:nvSpPr>
        <xdr:spPr>
          <a:xfrm>
            <a:off x="349" y="135"/>
            <a:ext cx="5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47" - 3"
</a:t>
            </a:r>
          </a:p>
        </xdr:txBody>
      </xdr:sp>
      <xdr:sp>
        <xdr:nvSpPr>
          <xdr:cNvPr id="43" name="Text Box 51"/>
          <xdr:cNvSpPr txBox="1">
            <a:spLocks noChangeArrowheads="1"/>
          </xdr:cNvSpPr>
        </xdr:nvSpPr>
        <xdr:spPr>
          <a:xfrm>
            <a:off x="423" y="292"/>
            <a:ext cx="9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Slope 1" per ft.</a:t>
            </a:r>
          </a:p>
        </xdr:txBody>
      </xdr:sp>
      <xdr:sp>
        <xdr:nvSpPr>
          <xdr:cNvPr id="44" name="Line 52"/>
          <xdr:cNvSpPr>
            <a:spLocks/>
          </xdr:cNvSpPr>
        </xdr:nvSpPr>
        <xdr:spPr>
          <a:xfrm flipH="1">
            <a:off x="376" y="306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54"/>
          <xdr:cNvSpPr>
            <a:spLocks/>
          </xdr:cNvSpPr>
        </xdr:nvSpPr>
        <xdr:spPr>
          <a:xfrm>
            <a:off x="225" y="391"/>
            <a:ext cx="3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55"/>
          <xdr:cNvSpPr txBox="1">
            <a:spLocks noChangeArrowheads="1"/>
          </xdr:cNvSpPr>
        </xdr:nvSpPr>
        <xdr:spPr>
          <a:xfrm>
            <a:off x="334" y="356"/>
            <a:ext cx="125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10" Pad of Sand
</a:t>
            </a:r>
          </a:p>
        </xdr:txBody>
      </xdr:sp>
      <xdr:sp>
        <xdr:nvSpPr>
          <xdr:cNvPr id="47" name="Text Box 56"/>
          <xdr:cNvSpPr txBox="1">
            <a:spLocks noChangeArrowheads="1"/>
          </xdr:cNvSpPr>
        </xdr:nvSpPr>
        <xdr:spPr>
          <a:xfrm>
            <a:off x="324" y="396"/>
            <a:ext cx="172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Well-Compacted Gravel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95% Compacted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 / 100 % Passing # 4 Sieve
</a:t>
            </a:r>
          </a:p>
        </xdr:txBody>
      </xdr:sp>
      <xdr:sp>
        <xdr:nvSpPr>
          <xdr:cNvPr id="48" name="Text Box 57"/>
          <xdr:cNvSpPr txBox="1">
            <a:spLocks noChangeArrowheads="1"/>
          </xdr:cNvSpPr>
        </xdr:nvSpPr>
        <xdr:spPr>
          <a:xfrm>
            <a:off x="266" y="509"/>
            <a:ext cx="245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95 % Compacted Subgrade or fill Material </a:t>
            </a:r>
          </a:p>
        </xdr:txBody>
      </xdr:sp>
      <xdr:sp>
        <xdr:nvSpPr>
          <xdr:cNvPr id="49" name="Line 59"/>
          <xdr:cNvSpPr>
            <a:spLocks/>
          </xdr:cNvSpPr>
        </xdr:nvSpPr>
        <xdr:spPr>
          <a:xfrm flipH="1">
            <a:off x="552" y="335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Text Box 60"/>
          <xdr:cNvSpPr txBox="1">
            <a:spLocks noChangeArrowheads="1"/>
          </xdr:cNvSpPr>
        </xdr:nvSpPr>
        <xdr:spPr>
          <a:xfrm>
            <a:off x="542" y="352"/>
            <a:ext cx="23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10"</a:t>
            </a:r>
          </a:p>
        </xdr:txBody>
      </xdr:sp>
      <xdr:sp>
        <xdr:nvSpPr>
          <xdr:cNvPr id="51" name="Line 62"/>
          <xdr:cNvSpPr>
            <a:spLocks/>
          </xdr:cNvSpPr>
        </xdr:nvSpPr>
        <xdr:spPr>
          <a:xfrm flipH="1">
            <a:off x="3" y="65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64"/>
          <xdr:cNvSpPr>
            <a:spLocks/>
          </xdr:cNvSpPr>
        </xdr:nvSpPr>
        <xdr:spPr>
          <a:xfrm flipH="1">
            <a:off x="12" y="331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65"/>
          <xdr:cNvSpPr>
            <a:spLocks/>
          </xdr:cNvSpPr>
        </xdr:nvSpPr>
        <xdr:spPr>
          <a:xfrm flipH="1">
            <a:off x="13" y="389"/>
            <a:ext cx="1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66"/>
          <xdr:cNvSpPr>
            <a:spLocks/>
          </xdr:cNvSpPr>
        </xdr:nvSpPr>
        <xdr:spPr>
          <a:xfrm flipV="1">
            <a:off x="84" y="567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67"/>
          <xdr:cNvSpPr>
            <a:spLocks/>
          </xdr:cNvSpPr>
        </xdr:nvSpPr>
        <xdr:spPr>
          <a:xfrm>
            <a:off x="128" y="347"/>
            <a:ext cx="0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 Box 68"/>
          <xdr:cNvSpPr txBox="1">
            <a:spLocks noChangeArrowheads="1"/>
          </xdr:cNvSpPr>
        </xdr:nvSpPr>
        <xdr:spPr>
          <a:xfrm>
            <a:off x="134" y="353"/>
            <a:ext cx="17" cy="20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 vert="vert27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 # 9 Bars Each Face Eq. Spaced</a:t>
            </a:r>
          </a:p>
        </xdr:txBody>
      </xdr:sp>
      <xdr:sp>
        <xdr:nvSpPr>
          <xdr:cNvPr id="57" name="Line 69"/>
          <xdr:cNvSpPr>
            <a:spLocks/>
          </xdr:cNvSpPr>
        </xdr:nvSpPr>
        <xdr:spPr>
          <a:xfrm flipH="1">
            <a:off x="12" y="58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70"/>
          <xdr:cNvSpPr>
            <a:spLocks/>
          </xdr:cNvSpPr>
        </xdr:nvSpPr>
        <xdr:spPr>
          <a:xfrm flipV="1">
            <a:off x="21" y="389"/>
            <a:ext cx="0" cy="1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Text Box 71"/>
          <xdr:cNvSpPr txBox="1">
            <a:spLocks noChangeArrowheads="1"/>
          </xdr:cNvSpPr>
        </xdr:nvSpPr>
        <xdr:spPr>
          <a:xfrm>
            <a:off x="23" y="470"/>
            <a:ext cx="22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 vert="vert27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4'-0"</a:t>
            </a:r>
          </a:p>
        </xdr:txBody>
      </xdr:sp>
      <xdr:sp>
        <xdr:nvSpPr>
          <xdr:cNvPr id="60" name="Line 72"/>
          <xdr:cNvSpPr>
            <a:spLocks/>
          </xdr:cNvSpPr>
        </xdr:nvSpPr>
        <xdr:spPr>
          <a:xfrm flipV="1">
            <a:off x="21" y="332"/>
            <a:ext cx="0" cy="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Text Box 73"/>
          <xdr:cNvSpPr txBox="1">
            <a:spLocks noChangeArrowheads="1"/>
          </xdr:cNvSpPr>
        </xdr:nvSpPr>
        <xdr:spPr>
          <a:xfrm>
            <a:off x="23" y="347"/>
            <a:ext cx="26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12"
</a:t>
            </a:r>
          </a:p>
        </xdr:txBody>
      </xdr:sp>
      <xdr:sp>
        <xdr:nvSpPr>
          <xdr:cNvPr id="62" name="Text Box 74"/>
          <xdr:cNvSpPr txBox="1">
            <a:spLocks noChangeArrowheads="1"/>
          </xdr:cNvSpPr>
        </xdr:nvSpPr>
        <xdr:spPr>
          <a:xfrm>
            <a:off x="15" y="608"/>
            <a:ext cx="1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 vert="vert27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12"
</a:t>
            </a:r>
          </a:p>
        </xdr:txBody>
      </xdr:sp>
      <xdr:sp>
        <xdr:nvSpPr>
          <xdr:cNvPr id="63" name="Line 76"/>
          <xdr:cNvSpPr>
            <a:spLocks/>
          </xdr:cNvSpPr>
        </xdr:nvSpPr>
        <xdr:spPr>
          <a:xfrm>
            <a:off x="129" y="578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7"/>
          <xdr:cNvSpPr>
            <a:spLocks/>
          </xdr:cNvSpPr>
        </xdr:nvSpPr>
        <xdr:spPr>
          <a:xfrm flipH="1">
            <a:off x="222" y="578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 Box 78"/>
          <xdr:cNvSpPr txBox="1">
            <a:spLocks noChangeArrowheads="1"/>
          </xdr:cNvSpPr>
        </xdr:nvSpPr>
        <xdr:spPr>
          <a:xfrm>
            <a:off x="257" y="571"/>
            <a:ext cx="62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1'-4" Wall</a:t>
            </a:r>
          </a:p>
        </xdr:txBody>
      </xdr:sp>
      <xdr:sp>
        <xdr:nvSpPr>
          <xdr:cNvPr id="66" name="Line 79"/>
          <xdr:cNvSpPr>
            <a:spLocks/>
          </xdr:cNvSpPr>
        </xdr:nvSpPr>
        <xdr:spPr>
          <a:xfrm flipH="1">
            <a:off x="216" y="469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 Box 80"/>
          <xdr:cNvSpPr txBox="1">
            <a:spLocks noChangeArrowheads="1"/>
          </xdr:cNvSpPr>
        </xdr:nvSpPr>
        <xdr:spPr>
          <a:xfrm>
            <a:off x="257" y="459"/>
            <a:ext cx="174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# 4 Bars 12" O/C Each Face</a:t>
            </a:r>
          </a:p>
        </xdr:txBody>
      </xdr:sp>
      <xdr:sp>
        <xdr:nvSpPr>
          <xdr:cNvPr id="68" name="AutoShape 81"/>
          <xdr:cNvSpPr>
            <a:spLocks/>
          </xdr:cNvSpPr>
        </xdr:nvSpPr>
        <xdr:spPr>
          <a:xfrm>
            <a:off x="195" y="313"/>
            <a:ext cx="15" cy="14"/>
          </a:xfrm>
          <a:prstGeom prst="rtTriangl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5"/>
  <sheetViews>
    <sheetView showGridLines="0" tabSelected="1" zoomScalePageLayoutView="0" workbookViewId="0" topLeftCell="A1">
      <selection activeCell="AO6" sqref="AO6"/>
    </sheetView>
  </sheetViews>
  <sheetFormatPr defaultColWidth="2.7109375" defaultRowHeight="12.75"/>
  <cols>
    <col min="1" max="1" width="2.8515625" style="46" customWidth="1"/>
    <col min="2" max="16384" width="2.7109375" style="47" customWidth="1"/>
  </cols>
  <sheetData>
    <row r="1" spans="12:83" ht="12.75" customHeight="1">
      <c r="L1" s="387" t="s">
        <v>20</v>
      </c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AF1" s="48" t="s">
        <v>21</v>
      </c>
      <c r="AG1" s="49">
        <v>1</v>
      </c>
      <c r="AH1" s="50" t="s">
        <v>22</v>
      </c>
      <c r="AI1" s="49">
        <v>1</v>
      </c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</row>
    <row r="2" spans="11:83" ht="12" customHeight="1" thickBot="1">
      <c r="K2" s="51"/>
      <c r="L2" s="52" t="s">
        <v>23</v>
      </c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</row>
    <row r="3" spans="2:83" ht="15" customHeight="1" thickBot="1">
      <c r="B3" s="53"/>
      <c r="K3" s="51"/>
      <c r="S3" s="51"/>
      <c r="T3" s="51"/>
      <c r="U3" s="51"/>
      <c r="V3" s="51"/>
      <c r="W3" s="51"/>
      <c r="X3" s="318" t="s">
        <v>271</v>
      </c>
      <c r="Y3" s="319"/>
      <c r="Z3" s="319"/>
      <c r="AA3" s="319"/>
      <c r="AB3" s="319"/>
      <c r="AC3" s="320"/>
      <c r="AD3" s="321">
        <v>1952</v>
      </c>
      <c r="AE3" s="322"/>
      <c r="AF3" s="322"/>
      <c r="AG3" s="322"/>
      <c r="AH3" s="322"/>
      <c r="AI3" s="323"/>
      <c r="AJ3" s="54"/>
      <c r="AV3" s="51"/>
      <c r="AW3" s="51"/>
      <c r="AX3" s="51"/>
      <c r="AY3" s="51"/>
      <c r="AZ3" s="51"/>
      <c r="BA3" s="284"/>
      <c r="BB3" s="285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</row>
    <row r="4" spans="2:83" ht="4.5" customHeight="1" thickBot="1">
      <c r="B4" s="55"/>
      <c r="K4" s="56"/>
      <c r="AJ4" s="57"/>
      <c r="AV4" s="51"/>
      <c r="AW4" s="51"/>
      <c r="AX4" s="51"/>
      <c r="AY4" s="51"/>
      <c r="AZ4" s="51"/>
      <c r="BA4" s="58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</row>
    <row r="5" spans="1:83" ht="12.75" customHeight="1">
      <c r="A5" s="59">
        <f>1</f>
        <v>1</v>
      </c>
      <c r="B5" s="202" t="s">
        <v>272</v>
      </c>
      <c r="C5" s="203"/>
      <c r="D5" s="203"/>
      <c r="E5" s="229" t="s">
        <v>273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30"/>
      <c r="Y5" s="224" t="s">
        <v>274</v>
      </c>
      <c r="Z5" s="203"/>
      <c r="AA5" s="203"/>
      <c r="AB5" s="203"/>
      <c r="AC5" s="220" t="s">
        <v>275</v>
      </c>
      <c r="AD5" s="220"/>
      <c r="AE5" s="220"/>
      <c r="AF5" s="220"/>
      <c r="AG5" s="220"/>
      <c r="AH5" s="220"/>
      <c r="AI5" s="220"/>
      <c r="AJ5" s="221"/>
      <c r="AV5" s="51"/>
      <c r="AW5" s="51"/>
      <c r="AX5" s="58" t="s">
        <v>276</v>
      </c>
      <c r="AY5" s="51"/>
      <c r="AZ5" s="51"/>
      <c r="BA5" s="60" t="s">
        <v>96</v>
      </c>
      <c r="BB5" s="60"/>
      <c r="BC5" s="58" t="s">
        <v>31</v>
      </c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</row>
    <row r="6" spans="1:83" ht="12.75" customHeight="1">
      <c r="A6" s="59">
        <f aca="true" t="shared" si="0" ref="A6:A37">1+A5</f>
        <v>2</v>
      </c>
      <c r="B6" s="243" t="s">
        <v>277</v>
      </c>
      <c r="C6" s="198"/>
      <c r="D6" s="198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2"/>
      <c r="Q6" s="225" t="s">
        <v>278</v>
      </c>
      <c r="R6" s="226"/>
      <c r="S6" s="231" t="s">
        <v>362</v>
      </c>
      <c r="T6" s="231"/>
      <c r="U6" s="231"/>
      <c r="V6" s="231"/>
      <c r="W6" s="231"/>
      <c r="X6" s="232"/>
      <c r="Y6" s="208" t="s">
        <v>279</v>
      </c>
      <c r="Z6" s="159"/>
      <c r="AA6" s="159"/>
      <c r="AB6" s="159"/>
      <c r="AC6" s="159"/>
      <c r="AD6" s="218"/>
      <c r="AE6" s="218"/>
      <c r="AF6" s="218"/>
      <c r="AG6" s="218"/>
      <c r="AH6" s="218"/>
      <c r="AI6" s="218"/>
      <c r="AJ6" s="219"/>
      <c r="AV6" s="51"/>
      <c r="AW6" s="51"/>
      <c r="AX6" s="58" t="s">
        <v>29</v>
      </c>
      <c r="AY6" s="51"/>
      <c r="AZ6" s="51"/>
      <c r="BA6" s="60" t="s">
        <v>71</v>
      </c>
      <c r="BB6" s="60"/>
      <c r="BC6" s="58" t="s">
        <v>32</v>
      </c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</row>
    <row r="7" spans="1:83" ht="12.75" customHeight="1">
      <c r="A7" s="59">
        <f t="shared" si="0"/>
        <v>3</v>
      </c>
      <c r="B7" s="243" t="s">
        <v>280</v>
      </c>
      <c r="C7" s="198"/>
      <c r="D7" s="198"/>
      <c r="E7" s="198"/>
      <c r="F7" s="331"/>
      <c r="G7" s="331"/>
      <c r="H7" s="331"/>
      <c r="I7" s="331"/>
      <c r="J7" s="332"/>
      <c r="K7" s="208" t="s">
        <v>281</v>
      </c>
      <c r="L7" s="159"/>
      <c r="M7" s="342"/>
      <c r="N7" s="342"/>
      <c r="O7" s="342"/>
      <c r="P7" s="342"/>
      <c r="Q7" s="342"/>
      <c r="R7" s="342"/>
      <c r="S7" s="342"/>
      <c r="T7" s="343"/>
      <c r="U7" s="208" t="s">
        <v>282</v>
      </c>
      <c r="V7" s="159"/>
      <c r="W7" s="159"/>
      <c r="X7" s="159"/>
      <c r="Y7" s="331"/>
      <c r="Z7" s="331"/>
      <c r="AA7" s="331"/>
      <c r="AB7" s="331"/>
      <c r="AC7" s="332"/>
      <c r="AD7" s="225" t="s">
        <v>283</v>
      </c>
      <c r="AE7" s="226"/>
      <c r="AF7" s="226"/>
      <c r="AG7" s="288" t="s">
        <v>284</v>
      </c>
      <c r="AH7" s="288"/>
      <c r="AI7" s="288"/>
      <c r="AJ7" s="289"/>
      <c r="AV7" s="51"/>
      <c r="AW7" s="51"/>
      <c r="AX7" s="58" t="s">
        <v>30</v>
      </c>
      <c r="AY7" s="51"/>
      <c r="AZ7" s="51"/>
      <c r="BA7" s="51"/>
      <c r="BB7" s="51"/>
      <c r="BC7" s="58" t="s">
        <v>28</v>
      </c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</row>
    <row r="8" spans="1:83" ht="12.75" customHeight="1" thickBot="1">
      <c r="A8" s="59">
        <f t="shared" si="0"/>
        <v>4</v>
      </c>
      <c r="B8" s="389" t="s">
        <v>27</v>
      </c>
      <c r="C8" s="268"/>
      <c r="D8" s="268"/>
      <c r="E8" s="338" t="s">
        <v>364</v>
      </c>
      <c r="F8" s="214"/>
      <c r="G8" s="214"/>
      <c r="H8" s="214"/>
      <c r="I8" s="214"/>
      <c r="J8" s="214"/>
      <c r="K8" s="214"/>
      <c r="L8" s="215"/>
      <c r="M8" s="267" t="s">
        <v>285</v>
      </c>
      <c r="N8" s="268"/>
      <c r="O8" s="268"/>
      <c r="P8" s="268"/>
      <c r="Q8" s="214" t="s">
        <v>26</v>
      </c>
      <c r="R8" s="214"/>
      <c r="S8" s="214"/>
      <c r="T8" s="214"/>
      <c r="U8" s="214"/>
      <c r="V8" s="214"/>
      <c r="W8" s="215"/>
      <c r="X8" s="227" t="s">
        <v>286</v>
      </c>
      <c r="Y8" s="228"/>
      <c r="Z8" s="228"/>
      <c r="AA8" s="228"/>
      <c r="AB8" s="228"/>
      <c r="AC8" s="228"/>
      <c r="AD8" s="222"/>
      <c r="AE8" s="222"/>
      <c r="AF8" s="222"/>
      <c r="AG8" s="222"/>
      <c r="AH8" s="222"/>
      <c r="AI8" s="222"/>
      <c r="AJ8" s="223"/>
      <c r="AN8" s="65"/>
      <c r="AO8" s="66"/>
      <c r="AP8" s="66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</row>
    <row r="9" spans="1:83" ht="12" customHeight="1">
      <c r="A9" s="59">
        <f t="shared" si="0"/>
        <v>5</v>
      </c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9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</row>
    <row r="10" spans="1:83" ht="12" customHeight="1">
      <c r="A10" s="59">
        <f t="shared" si="0"/>
        <v>6</v>
      </c>
      <c r="B10" s="70"/>
      <c r="AJ10" s="71"/>
      <c r="AN10" s="72"/>
      <c r="AO10" s="66"/>
      <c r="AP10" s="66"/>
      <c r="AQ10" s="66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</row>
    <row r="11" spans="1:83" ht="12" customHeight="1">
      <c r="A11" s="59">
        <f t="shared" si="0"/>
        <v>7</v>
      </c>
      <c r="B11" s="70"/>
      <c r="AJ11" s="71"/>
      <c r="AN11" s="66"/>
      <c r="AO11" s="66"/>
      <c r="AP11" s="66"/>
      <c r="AQ11" s="66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</row>
    <row r="12" spans="1:83" ht="12" customHeight="1">
      <c r="A12" s="59">
        <f t="shared" si="0"/>
        <v>8</v>
      </c>
      <c r="B12" s="70"/>
      <c r="AJ12" s="7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</row>
    <row r="13" spans="1:83" ht="12" customHeight="1">
      <c r="A13" s="59">
        <f t="shared" si="0"/>
        <v>9</v>
      </c>
      <c r="B13" s="70"/>
      <c r="AJ13" s="7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</row>
    <row r="14" spans="1:83" ht="12" customHeight="1">
      <c r="A14" s="59">
        <f t="shared" si="0"/>
        <v>10</v>
      </c>
      <c r="B14" s="70"/>
      <c r="AJ14" s="7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</row>
    <row r="15" spans="1:83" ht="12" customHeight="1">
      <c r="A15" s="59">
        <f t="shared" si="0"/>
        <v>11</v>
      </c>
      <c r="B15" s="70"/>
      <c r="AJ15" s="71"/>
      <c r="AN15" s="66"/>
      <c r="AO15" s="66"/>
      <c r="AP15" s="66"/>
      <c r="AQ15" s="66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</row>
    <row r="16" spans="1:83" ht="12" customHeight="1">
      <c r="A16" s="59">
        <f t="shared" si="0"/>
        <v>12</v>
      </c>
      <c r="B16" s="70"/>
      <c r="AJ16" s="71"/>
      <c r="AS16" s="73"/>
      <c r="AT16" s="66"/>
      <c r="AU16" s="66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74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</row>
    <row r="17" spans="1:83" ht="12" customHeight="1">
      <c r="A17" s="59">
        <f t="shared" si="0"/>
        <v>13</v>
      </c>
      <c r="B17" s="70"/>
      <c r="Q17" s="345">
        <v>50</v>
      </c>
      <c r="R17" s="345"/>
      <c r="S17" s="75" t="s">
        <v>196</v>
      </c>
      <c r="AJ17" s="7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</row>
    <row r="18" spans="1:83" ht="12" customHeight="1">
      <c r="A18" s="59">
        <f t="shared" si="0"/>
        <v>14</v>
      </c>
      <c r="B18" s="70"/>
      <c r="AJ18" s="7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</row>
    <row r="19" spans="1:83" ht="12" customHeight="1">
      <c r="A19" s="59">
        <f t="shared" si="0"/>
        <v>15</v>
      </c>
      <c r="B19" s="70"/>
      <c r="E19" s="339">
        <v>32</v>
      </c>
      <c r="F19" s="339"/>
      <c r="G19" s="75" t="s">
        <v>196</v>
      </c>
      <c r="AJ19" s="7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</row>
    <row r="20" spans="1:83" ht="12" customHeight="1">
      <c r="A20" s="59">
        <f t="shared" si="0"/>
        <v>16</v>
      </c>
      <c r="B20" s="70"/>
      <c r="AJ20" s="7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</row>
    <row r="21" spans="1:83" ht="12" customHeight="1">
      <c r="A21" s="59">
        <f t="shared" si="0"/>
        <v>17</v>
      </c>
      <c r="B21" s="70"/>
      <c r="AJ21" s="7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</row>
    <row r="22" spans="1:83" ht="12" customHeight="1">
      <c r="A22" s="59">
        <f t="shared" si="0"/>
        <v>18</v>
      </c>
      <c r="B22" s="70"/>
      <c r="AJ22" s="7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</row>
    <row r="23" spans="1:83" ht="12" customHeight="1">
      <c r="A23" s="59">
        <f t="shared" si="0"/>
        <v>19</v>
      </c>
      <c r="B23" s="70"/>
      <c r="AJ23" s="7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</row>
    <row r="24" spans="1:83" ht="12" customHeight="1">
      <c r="A24" s="59">
        <f t="shared" si="0"/>
        <v>20</v>
      </c>
      <c r="B24" s="70"/>
      <c r="AJ24" s="7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</row>
    <row r="25" spans="1:83" ht="12" customHeight="1">
      <c r="A25" s="59">
        <f t="shared" si="0"/>
        <v>21</v>
      </c>
      <c r="B25" s="70"/>
      <c r="AJ25" s="7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</row>
    <row r="26" spans="1:83" ht="12" customHeight="1">
      <c r="A26" s="59">
        <f t="shared" si="0"/>
        <v>22</v>
      </c>
      <c r="B26" s="70"/>
      <c r="AJ26" s="7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</row>
    <row r="27" spans="1:83" ht="12" customHeight="1" thickBot="1">
      <c r="A27" s="59">
        <f t="shared" si="0"/>
        <v>23</v>
      </c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8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</row>
    <row r="28" spans="1:83" ht="12" customHeight="1">
      <c r="A28" s="59">
        <f t="shared" si="0"/>
        <v>24</v>
      </c>
      <c r="B28" s="202" t="s">
        <v>287</v>
      </c>
      <c r="C28" s="203"/>
      <c r="D28" s="203"/>
      <c r="E28" s="203"/>
      <c r="F28" s="79"/>
      <c r="G28" s="204">
        <f>Q17</f>
        <v>50</v>
      </c>
      <c r="H28" s="204"/>
      <c r="I28" s="236" t="s">
        <v>288</v>
      </c>
      <c r="J28" s="236"/>
      <c r="K28" s="196"/>
      <c r="L28" s="196"/>
      <c r="M28" s="197"/>
      <c r="N28" s="205" t="s">
        <v>289</v>
      </c>
      <c r="O28" s="161"/>
      <c r="P28" s="161"/>
      <c r="Q28" s="161"/>
      <c r="R28" s="348">
        <f>E19</f>
        <v>32</v>
      </c>
      <c r="S28" s="348"/>
      <c r="T28" s="236" t="s">
        <v>288</v>
      </c>
      <c r="U28" s="334"/>
      <c r="V28" s="346" t="s">
        <v>290</v>
      </c>
      <c r="W28" s="347"/>
      <c r="X28" s="347"/>
      <c r="Y28" s="347"/>
      <c r="Z28" s="347"/>
      <c r="AA28" s="336">
        <f>(PI()/4)*Q17^2*E19*7.480519/42</f>
        <v>11190.83025497089</v>
      </c>
      <c r="AB28" s="336"/>
      <c r="AC28" s="336"/>
      <c r="AD28" s="336"/>
      <c r="AE28" s="239" t="s">
        <v>291</v>
      </c>
      <c r="AF28" s="239"/>
      <c r="AG28" s="239"/>
      <c r="AH28" s="196"/>
      <c r="AI28" s="196"/>
      <c r="AJ28" s="238"/>
      <c r="AL28" s="75" t="s">
        <v>31</v>
      </c>
      <c r="AO28" s="75" t="s">
        <v>292</v>
      </c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</row>
    <row r="29" spans="1:83" ht="12" customHeight="1" thickBot="1">
      <c r="A29" s="59">
        <f t="shared" si="0"/>
        <v>25</v>
      </c>
      <c r="B29" s="200" t="s">
        <v>293</v>
      </c>
      <c r="C29" s="201"/>
      <c r="D29" s="201"/>
      <c r="E29" s="201"/>
      <c r="F29" s="344" t="s">
        <v>276</v>
      </c>
      <c r="G29" s="344"/>
      <c r="H29" s="344"/>
      <c r="I29" s="80"/>
      <c r="J29" s="194"/>
      <c r="K29" s="194"/>
      <c r="L29" s="194"/>
      <c r="M29" s="194"/>
      <c r="N29" s="194"/>
      <c r="O29" s="194"/>
      <c r="P29" s="194"/>
      <c r="Q29" s="194"/>
      <c r="R29" s="195"/>
      <c r="S29" s="340" t="s">
        <v>294</v>
      </c>
      <c r="T29" s="341"/>
      <c r="U29" s="341"/>
      <c r="V29" s="341"/>
      <c r="W29" s="341"/>
      <c r="X29" s="337" t="s">
        <v>32</v>
      </c>
      <c r="Y29" s="337"/>
      <c r="Z29" s="337"/>
      <c r="AA29" s="63"/>
      <c r="AB29" s="209"/>
      <c r="AC29" s="209"/>
      <c r="AD29" s="209"/>
      <c r="AE29" s="209"/>
      <c r="AF29" s="209"/>
      <c r="AG29" s="209"/>
      <c r="AH29" s="209"/>
      <c r="AI29" s="209"/>
      <c r="AJ29" s="210"/>
      <c r="AL29" s="75" t="s">
        <v>32</v>
      </c>
      <c r="AO29" s="75" t="s">
        <v>291</v>
      </c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</row>
    <row r="30" spans="1:83" ht="12" customHeight="1" thickBot="1">
      <c r="A30" s="59">
        <f t="shared" si="0"/>
        <v>26</v>
      </c>
      <c r="B30" s="354" t="s">
        <v>33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6"/>
      <c r="S30" s="354" t="s">
        <v>34</v>
      </c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6"/>
      <c r="AL30" s="75" t="s">
        <v>28</v>
      </c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</row>
    <row r="31" spans="1:83" ht="12" customHeight="1">
      <c r="A31" s="59">
        <f t="shared" si="0"/>
        <v>27</v>
      </c>
      <c r="B31" s="324" t="s">
        <v>295</v>
      </c>
      <c r="C31" s="325"/>
      <c r="D31" s="325"/>
      <c r="E31" s="325"/>
      <c r="F31" s="326" t="s">
        <v>25</v>
      </c>
      <c r="G31" s="326"/>
      <c r="H31" s="326"/>
      <c r="I31" s="326"/>
      <c r="J31" s="326"/>
      <c r="K31" s="326"/>
      <c r="L31" s="327"/>
      <c r="M31" s="346" t="s">
        <v>296</v>
      </c>
      <c r="N31" s="347"/>
      <c r="O31" s="347"/>
      <c r="P31" s="367">
        <v>0.79</v>
      </c>
      <c r="Q31" s="367"/>
      <c r="R31" s="368"/>
      <c r="S31" s="333" t="s">
        <v>35</v>
      </c>
      <c r="T31" s="334"/>
      <c r="U31" s="335" t="s">
        <v>24</v>
      </c>
      <c r="V31" s="236"/>
      <c r="W31" s="236"/>
      <c r="X31" s="236"/>
      <c r="Y31" s="236"/>
      <c r="Z31" s="334"/>
      <c r="AA31" s="335" t="s">
        <v>36</v>
      </c>
      <c r="AB31" s="334"/>
      <c r="AC31" s="335" t="s">
        <v>37</v>
      </c>
      <c r="AD31" s="334"/>
      <c r="AE31" s="369" t="s">
        <v>38</v>
      </c>
      <c r="AF31" s="370"/>
      <c r="AG31" s="371"/>
      <c r="AH31" s="233" t="s">
        <v>39</v>
      </c>
      <c r="AI31" s="234"/>
      <c r="AJ31" s="235"/>
      <c r="AP31" s="81" t="s">
        <v>297</v>
      </c>
      <c r="AS31" s="81" t="s">
        <v>298</v>
      </c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</row>
    <row r="32" spans="1:83" ht="12" customHeight="1">
      <c r="A32" s="59">
        <f t="shared" si="0"/>
        <v>28</v>
      </c>
      <c r="B32" s="156" t="s">
        <v>299</v>
      </c>
      <c r="C32" s="157"/>
      <c r="D32" s="157"/>
      <c r="E32" s="157"/>
      <c r="F32" s="157"/>
      <c r="G32" s="157"/>
      <c r="H32" s="157"/>
      <c r="I32" s="157"/>
      <c r="J32" s="157"/>
      <c r="K32" s="193" t="s">
        <v>40</v>
      </c>
      <c r="L32" s="193"/>
      <c r="M32" s="193"/>
      <c r="N32" s="193"/>
      <c r="O32" s="193"/>
      <c r="P32" s="82"/>
      <c r="Q32" s="198"/>
      <c r="R32" s="199"/>
      <c r="S32" s="216" t="s">
        <v>43</v>
      </c>
      <c r="T32" s="217"/>
      <c r="U32" s="211" t="s">
        <v>44</v>
      </c>
      <c r="V32" s="212"/>
      <c r="W32" s="212"/>
      <c r="X32" s="212"/>
      <c r="Y32" s="212"/>
      <c r="Z32" s="213"/>
      <c r="AA32" s="206">
        <v>2</v>
      </c>
      <c r="AB32" s="207"/>
      <c r="AC32" s="206" t="s">
        <v>45</v>
      </c>
      <c r="AD32" s="207"/>
      <c r="AE32" s="170" t="s">
        <v>300</v>
      </c>
      <c r="AF32" s="171"/>
      <c r="AG32" s="172"/>
      <c r="AH32" s="173" t="s">
        <v>301</v>
      </c>
      <c r="AI32" s="174"/>
      <c r="AJ32" s="175"/>
      <c r="AL32" s="47" t="s">
        <v>40</v>
      </c>
      <c r="AP32" s="81" t="s">
        <v>300</v>
      </c>
      <c r="AS32" s="81" t="s">
        <v>301</v>
      </c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</row>
    <row r="33" spans="1:83" ht="12" customHeight="1">
      <c r="A33" s="59">
        <f t="shared" si="0"/>
        <v>29</v>
      </c>
      <c r="B33" s="168" t="s">
        <v>46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237">
        <v>5.5</v>
      </c>
      <c r="P33" s="166"/>
      <c r="Q33" s="212" t="s">
        <v>47</v>
      </c>
      <c r="R33" s="287"/>
      <c r="S33" s="216" t="s">
        <v>48</v>
      </c>
      <c r="T33" s="217"/>
      <c r="U33" s="211" t="s">
        <v>49</v>
      </c>
      <c r="V33" s="212"/>
      <c r="W33" s="212"/>
      <c r="X33" s="212"/>
      <c r="Y33" s="212"/>
      <c r="Z33" s="213"/>
      <c r="AA33" s="206">
        <v>2</v>
      </c>
      <c r="AB33" s="207"/>
      <c r="AC33" s="206" t="s">
        <v>45</v>
      </c>
      <c r="AD33" s="207"/>
      <c r="AE33" s="170" t="s">
        <v>297</v>
      </c>
      <c r="AF33" s="171"/>
      <c r="AG33" s="172"/>
      <c r="AH33" s="173" t="s">
        <v>298</v>
      </c>
      <c r="AI33" s="174"/>
      <c r="AJ33" s="175"/>
      <c r="AL33" s="83" t="s">
        <v>41</v>
      </c>
      <c r="AS33" s="81" t="s">
        <v>302</v>
      </c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</row>
    <row r="34" spans="1:83" ht="12" customHeight="1">
      <c r="A34" s="59">
        <f t="shared" si="0"/>
        <v>30</v>
      </c>
      <c r="B34" s="168" t="s">
        <v>303</v>
      </c>
      <c r="C34" s="169"/>
      <c r="D34" s="169"/>
      <c r="E34" s="169"/>
      <c r="F34" s="169"/>
      <c r="G34" s="169"/>
      <c r="H34" s="169"/>
      <c r="I34" s="242"/>
      <c r="J34" s="242"/>
      <c r="K34" s="242"/>
      <c r="L34" s="62" t="s">
        <v>50</v>
      </c>
      <c r="M34" s="349" t="s">
        <v>51</v>
      </c>
      <c r="N34" s="350"/>
      <c r="O34" s="351"/>
      <c r="P34" s="349" t="s">
        <v>52</v>
      </c>
      <c r="Q34" s="350"/>
      <c r="R34" s="352"/>
      <c r="S34" s="216" t="s">
        <v>53</v>
      </c>
      <c r="T34" s="217"/>
      <c r="U34" s="211" t="s">
        <v>304</v>
      </c>
      <c r="V34" s="212"/>
      <c r="W34" s="212"/>
      <c r="X34" s="212"/>
      <c r="Y34" s="212"/>
      <c r="Z34" s="213"/>
      <c r="AA34" s="206">
        <v>1</v>
      </c>
      <c r="AB34" s="207"/>
      <c r="AC34" s="206" t="s">
        <v>54</v>
      </c>
      <c r="AD34" s="364"/>
      <c r="AE34" s="170" t="s">
        <v>297</v>
      </c>
      <c r="AF34" s="171"/>
      <c r="AG34" s="172"/>
      <c r="AH34" s="173" t="s">
        <v>298</v>
      </c>
      <c r="AI34" s="174"/>
      <c r="AJ34" s="175"/>
      <c r="AL34" s="83" t="s">
        <v>42</v>
      </c>
      <c r="AS34" s="81" t="s">
        <v>305</v>
      </c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</row>
    <row r="35" spans="1:83" ht="12" customHeight="1">
      <c r="A35" s="59">
        <f t="shared" si="0"/>
        <v>31</v>
      </c>
      <c r="B35" s="168" t="s">
        <v>55</v>
      </c>
      <c r="C35" s="169"/>
      <c r="D35" s="169"/>
      <c r="E35" s="169"/>
      <c r="F35" s="169"/>
      <c r="G35" s="169"/>
      <c r="H35" s="61"/>
      <c r="I35" s="61"/>
      <c r="J35" s="61"/>
      <c r="K35" s="226" t="s">
        <v>306</v>
      </c>
      <c r="L35" s="366"/>
      <c r="M35" s="182">
        <v>0</v>
      </c>
      <c r="N35" s="183"/>
      <c r="O35" s="184"/>
      <c r="P35" s="185">
        <v>0.5</v>
      </c>
      <c r="Q35" s="186"/>
      <c r="R35" s="187"/>
      <c r="S35" s="216" t="s">
        <v>57</v>
      </c>
      <c r="T35" s="217"/>
      <c r="U35" s="211" t="s">
        <v>58</v>
      </c>
      <c r="V35" s="212"/>
      <c r="W35" s="212"/>
      <c r="X35" s="212"/>
      <c r="Y35" s="212"/>
      <c r="Z35" s="213"/>
      <c r="AA35" s="206">
        <v>1</v>
      </c>
      <c r="AB35" s="207"/>
      <c r="AC35" s="206" t="s">
        <v>59</v>
      </c>
      <c r="AD35" s="207"/>
      <c r="AE35" s="170" t="s">
        <v>297</v>
      </c>
      <c r="AF35" s="171"/>
      <c r="AG35" s="172"/>
      <c r="AH35" s="173" t="s">
        <v>301</v>
      </c>
      <c r="AI35" s="174"/>
      <c r="AJ35" s="175"/>
      <c r="AL35" s="75" t="s">
        <v>56</v>
      </c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</row>
    <row r="36" spans="1:83" ht="12" customHeight="1">
      <c r="A36" s="59">
        <f t="shared" si="0"/>
        <v>32</v>
      </c>
      <c r="B36" s="168" t="s">
        <v>60</v>
      </c>
      <c r="C36" s="169"/>
      <c r="D36" s="169"/>
      <c r="E36" s="169"/>
      <c r="F36" s="169"/>
      <c r="G36" s="169"/>
      <c r="H36" s="61"/>
      <c r="I36" s="61"/>
      <c r="J36" s="61"/>
      <c r="K36" s="226" t="s">
        <v>307</v>
      </c>
      <c r="L36" s="366"/>
      <c r="M36" s="182">
        <v>1</v>
      </c>
      <c r="N36" s="183"/>
      <c r="O36" s="184"/>
      <c r="P36" s="185">
        <v>2</v>
      </c>
      <c r="Q36" s="186"/>
      <c r="R36" s="187"/>
      <c r="S36" s="216" t="s">
        <v>61</v>
      </c>
      <c r="T36" s="217"/>
      <c r="U36" s="211" t="s">
        <v>62</v>
      </c>
      <c r="V36" s="212"/>
      <c r="W36" s="212"/>
      <c r="X36" s="212"/>
      <c r="Y36" s="212"/>
      <c r="Z36" s="213"/>
      <c r="AA36" s="206">
        <v>1</v>
      </c>
      <c r="AB36" s="207"/>
      <c r="AC36" s="206" t="s">
        <v>63</v>
      </c>
      <c r="AD36" s="365"/>
      <c r="AE36" s="170" t="s">
        <v>300</v>
      </c>
      <c r="AF36" s="171"/>
      <c r="AG36" s="172"/>
      <c r="AH36" s="173" t="s">
        <v>302</v>
      </c>
      <c r="AI36" s="174"/>
      <c r="AJ36" s="175"/>
      <c r="AL36" s="75" t="s">
        <v>361</v>
      </c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</row>
    <row r="37" spans="1:83" ht="12" customHeight="1">
      <c r="A37" s="59">
        <f t="shared" si="0"/>
        <v>33</v>
      </c>
      <c r="B37" s="168" t="s">
        <v>308</v>
      </c>
      <c r="C37" s="169"/>
      <c r="D37" s="169"/>
      <c r="E37" s="169"/>
      <c r="F37" s="169"/>
      <c r="G37" s="169"/>
      <c r="H37" s="169"/>
      <c r="I37" s="169"/>
      <c r="J37" s="169"/>
      <c r="K37" s="169"/>
      <c r="L37" s="283"/>
      <c r="M37" s="280" t="s">
        <v>64</v>
      </c>
      <c r="N37" s="281"/>
      <c r="O37" s="282"/>
      <c r="P37" s="206"/>
      <c r="Q37" s="242"/>
      <c r="R37" s="286"/>
      <c r="S37" s="216" t="s">
        <v>156</v>
      </c>
      <c r="T37" s="217"/>
      <c r="U37" s="211" t="s">
        <v>157</v>
      </c>
      <c r="V37" s="212"/>
      <c r="W37" s="212"/>
      <c r="X37" s="212"/>
      <c r="Y37" s="212"/>
      <c r="Z37" s="213"/>
      <c r="AA37" s="206">
        <v>1</v>
      </c>
      <c r="AB37" s="207"/>
      <c r="AC37" s="206" t="s">
        <v>67</v>
      </c>
      <c r="AD37" s="207"/>
      <c r="AE37" s="170" t="s">
        <v>300</v>
      </c>
      <c r="AF37" s="171"/>
      <c r="AG37" s="172"/>
      <c r="AH37" s="173" t="s">
        <v>305</v>
      </c>
      <c r="AI37" s="174"/>
      <c r="AJ37" s="175"/>
      <c r="AL37" s="75" t="s">
        <v>307</v>
      </c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</row>
    <row r="38" spans="1:83" ht="12" customHeight="1">
      <c r="A38" s="59">
        <f aca="true" t="shared" si="1" ref="A38:A56">1+A37</f>
        <v>34</v>
      </c>
      <c r="B38" s="168" t="s">
        <v>309</v>
      </c>
      <c r="C38" s="169"/>
      <c r="D38" s="169"/>
      <c r="E38" s="169"/>
      <c r="F38" s="169"/>
      <c r="G38" s="169"/>
      <c r="H38" s="169"/>
      <c r="I38" s="169"/>
      <c r="J38" s="169"/>
      <c r="K38" s="169"/>
      <c r="L38" s="62" t="s">
        <v>50</v>
      </c>
      <c r="M38" s="206"/>
      <c r="N38" s="242"/>
      <c r="O38" s="207"/>
      <c r="P38" s="237">
        <v>-25</v>
      </c>
      <c r="Q38" s="277"/>
      <c r="R38" s="278"/>
      <c r="S38" s="216" t="s">
        <v>65</v>
      </c>
      <c r="T38" s="217"/>
      <c r="U38" s="211" t="s">
        <v>66</v>
      </c>
      <c r="V38" s="212"/>
      <c r="W38" s="212"/>
      <c r="X38" s="212"/>
      <c r="Y38" s="212"/>
      <c r="Z38" s="213"/>
      <c r="AA38" s="206">
        <v>1</v>
      </c>
      <c r="AB38" s="207"/>
      <c r="AC38" s="206" t="s">
        <v>158</v>
      </c>
      <c r="AD38" s="364"/>
      <c r="AE38" s="170" t="s">
        <v>300</v>
      </c>
      <c r="AF38" s="171"/>
      <c r="AG38" s="172"/>
      <c r="AH38" s="173" t="s">
        <v>302</v>
      </c>
      <c r="AI38" s="174"/>
      <c r="AJ38" s="175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</row>
    <row r="39" spans="1:83" ht="12" customHeight="1">
      <c r="A39" s="59">
        <f t="shared" si="1"/>
        <v>35</v>
      </c>
      <c r="B39" s="168" t="s">
        <v>310</v>
      </c>
      <c r="C39" s="169"/>
      <c r="D39" s="169"/>
      <c r="E39" s="169"/>
      <c r="F39" s="169"/>
      <c r="G39" s="169"/>
      <c r="H39" s="169"/>
      <c r="I39" s="169"/>
      <c r="J39" s="193"/>
      <c r="K39" s="193"/>
      <c r="L39" s="62" t="s">
        <v>50</v>
      </c>
      <c r="M39" s="206"/>
      <c r="N39" s="242"/>
      <c r="O39" s="207"/>
      <c r="P39" s="237">
        <v>200</v>
      </c>
      <c r="Q39" s="275"/>
      <c r="R39" s="276"/>
      <c r="S39" s="216" t="s">
        <v>68</v>
      </c>
      <c r="T39" s="217"/>
      <c r="U39" s="211" t="s">
        <v>69</v>
      </c>
      <c r="V39" s="212"/>
      <c r="W39" s="212"/>
      <c r="X39" s="212"/>
      <c r="Y39" s="212"/>
      <c r="Z39" s="213"/>
      <c r="AA39" s="206">
        <v>1</v>
      </c>
      <c r="AB39" s="207"/>
      <c r="AC39" s="206" t="s">
        <v>70</v>
      </c>
      <c r="AD39" s="364"/>
      <c r="AE39" s="170" t="s">
        <v>300</v>
      </c>
      <c r="AF39" s="171"/>
      <c r="AG39" s="172"/>
      <c r="AH39" s="173" t="s">
        <v>301</v>
      </c>
      <c r="AI39" s="174"/>
      <c r="AJ39" s="175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</row>
    <row r="40" spans="1:83" ht="12" customHeight="1" thickBot="1">
      <c r="A40" s="59">
        <f t="shared" si="1"/>
        <v>36</v>
      </c>
      <c r="B40" s="353" t="s">
        <v>311</v>
      </c>
      <c r="C40" s="341"/>
      <c r="D40" s="341"/>
      <c r="E40" s="341"/>
      <c r="F40" s="341"/>
      <c r="G40" s="341"/>
      <c r="H40" s="341"/>
      <c r="I40" s="341"/>
      <c r="J40" s="271" t="s">
        <v>96</v>
      </c>
      <c r="K40" s="271"/>
      <c r="L40" s="83"/>
      <c r="M40" s="228" t="s">
        <v>312</v>
      </c>
      <c r="N40" s="228"/>
      <c r="O40" s="251" t="s">
        <v>313</v>
      </c>
      <c r="P40" s="251"/>
      <c r="Q40" s="390" t="s">
        <v>306</v>
      </c>
      <c r="R40" s="391"/>
      <c r="S40" s="216" t="s">
        <v>72</v>
      </c>
      <c r="T40" s="217"/>
      <c r="U40" s="211" t="s">
        <v>73</v>
      </c>
      <c r="V40" s="212"/>
      <c r="W40" s="212"/>
      <c r="X40" s="212"/>
      <c r="Y40" s="212"/>
      <c r="Z40" s="213"/>
      <c r="AA40" s="206">
        <v>1</v>
      </c>
      <c r="AB40" s="207"/>
      <c r="AC40" s="206" t="s">
        <v>74</v>
      </c>
      <c r="AD40" s="364"/>
      <c r="AE40" s="170" t="s">
        <v>300</v>
      </c>
      <c r="AF40" s="171"/>
      <c r="AG40" s="172"/>
      <c r="AH40" s="173" t="s">
        <v>298</v>
      </c>
      <c r="AI40" s="174"/>
      <c r="AJ40" s="175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</row>
    <row r="41" spans="1:83" ht="12" customHeight="1" thickBot="1">
      <c r="A41" s="59">
        <f t="shared" si="1"/>
        <v>37</v>
      </c>
      <c r="B41" s="354" t="s">
        <v>75</v>
      </c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6"/>
      <c r="S41" s="216" t="s">
        <v>76</v>
      </c>
      <c r="T41" s="217"/>
      <c r="U41" s="211" t="s">
        <v>77</v>
      </c>
      <c r="V41" s="212"/>
      <c r="W41" s="212"/>
      <c r="X41" s="212"/>
      <c r="Y41" s="212"/>
      <c r="Z41" s="213"/>
      <c r="AA41" s="206">
        <v>1</v>
      </c>
      <c r="AB41" s="207"/>
      <c r="AC41" s="206" t="s">
        <v>67</v>
      </c>
      <c r="AD41" s="364"/>
      <c r="AE41" s="170" t="s">
        <v>300</v>
      </c>
      <c r="AF41" s="171"/>
      <c r="AG41" s="172"/>
      <c r="AH41" s="173" t="s">
        <v>305</v>
      </c>
      <c r="AI41" s="174"/>
      <c r="AJ41" s="175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</row>
    <row r="42" spans="1:83" ht="12" customHeight="1">
      <c r="A42" s="59">
        <f t="shared" si="1"/>
        <v>38</v>
      </c>
      <c r="B42" s="279" t="s">
        <v>78</v>
      </c>
      <c r="C42" s="273"/>
      <c r="D42" s="273"/>
      <c r="E42" s="273"/>
      <c r="F42" s="273"/>
      <c r="G42" s="274"/>
      <c r="H42" s="272" t="s">
        <v>79</v>
      </c>
      <c r="I42" s="273"/>
      <c r="J42" s="274"/>
      <c r="K42" s="272" t="s">
        <v>314</v>
      </c>
      <c r="L42" s="273"/>
      <c r="M42" s="273"/>
      <c r="N42" s="274"/>
      <c r="O42" s="357" t="s">
        <v>80</v>
      </c>
      <c r="P42" s="358"/>
      <c r="Q42" s="358"/>
      <c r="R42" s="359"/>
      <c r="S42" s="216" t="s">
        <v>81</v>
      </c>
      <c r="T42" s="217"/>
      <c r="U42" s="211" t="s">
        <v>82</v>
      </c>
      <c r="V42" s="212"/>
      <c r="W42" s="212"/>
      <c r="X42" s="212"/>
      <c r="Y42" s="212"/>
      <c r="Z42" s="213"/>
      <c r="AA42" s="206">
        <v>1</v>
      </c>
      <c r="AB42" s="207"/>
      <c r="AC42" s="206" t="s">
        <v>83</v>
      </c>
      <c r="AD42" s="364"/>
      <c r="AE42" s="170" t="s">
        <v>300</v>
      </c>
      <c r="AF42" s="171"/>
      <c r="AG42" s="172"/>
      <c r="AH42" s="173" t="s">
        <v>298</v>
      </c>
      <c r="AI42" s="174"/>
      <c r="AJ42" s="175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</row>
    <row r="43" spans="1:83" ht="12" customHeight="1">
      <c r="A43" s="59">
        <f t="shared" si="1"/>
        <v>39</v>
      </c>
      <c r="B43" s="158" t="s">
        <v>84</v>
      </c>
      <c r="C43" s="159"/>
      <c r="D43" s="159"/>
      <c r="E43" s="159"/>
      <c r="F43" s="159"/>
      <c r="G43" s="363"/>
      <c r="H43" s="176" t="s">
        <v>315</v>
      </c>
      <c r="I43" s="177"/>
      <c r="J43" s="178"/>
      <c r="K43" s="253">
        <v>0.125</v>
      </c>
      <c r="L43" s="254"/>
      <c r="M43" s="254"/>
      <c r="N43" s="255"/>
      <c r="O43" s="360" t="s">
        <v>85</v>
      </c>
      <c r="P43" s="361"/>
      <c r="Q43" s="361"/>
      <c r="R43" s="362"/>
      <c r="S43" s="216" t="s">
        <v>86</v>
      </c>
      <c r="T43" s="217"/>
      <c r="U43" s="211" t="s">
        <v>82</v>
      </c>
      <c r="V43" s="212"/>
      <c r="W43" s="212"/>
      <c r="X43" s="212"/>
      <c r="Y43" s="212"/>
      <c r="Z43" s="213"/>
      <c r="AA43" s="206">
        <v>1</v>
      </c>
      <c r="AB43" s="207"/>
      <c r="AC43" s="206" t="s">
        <v>83</v>
      </c>
      <c r="AD43" s="364"/>
      <c r="AE43" s="170" t="s">
        <v>300</v>
      </c>
      <c r="AF43" s="171"/>
      <c r="AG43" s="172"/>
      <c r="AH43" s="173" t="s">
        <v>301</v>
      </c>
      <c r="AI43" s="174"/>
      <c r="AJ43" s="175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</row>
    <row r="44" spans="1:83" ht="12" customHeight="1">
      <c r="A44" s="59">
        <f t="shared" si="1"/>
        <v>40</v>
      </c>
      <c r="B44" s="243" t="s">
        <v>87</v>
      </c>
      <c r="C44" s="198"/>
      <c r="D44" s="198"/>
      <c r="E44" s="198"/>
      <c r="F44" s="198"/>
      <c r="G44" s="244"/>
      <c r="H44" s="176" t="s">
        <v>316</v>
      </c>
      <c r="I44" s="177"/>
      <c r="J44" s="178"/>
      <c r="K44" s="253">
        <v>0.125</v>
      </c>
      <c r="L44" s="254"/>
      <c r="M44" s="254"/>
      <c r="N44" s="255"/>
      <c r="O44" s="360" t="s">
        <v>85</v>
      </c>
      <c r="P44" s="361"/>
      <c r="Q44" s="361"/>
      <c r="R44" s="362"/>
      <c r="S44" s="216" t="s">
        <v>88</v>
      </c>
      <c r="T44" s="217"/>
      <c r="U44" s="211" t="s">
        <v>89</v>
      </c>
      <c r="V44" s="212"/>
      <c r="W44" s="212"/>
      <c r="X44" s="212"/>
      <c r="Y44" s="212"/>
      <c r="Z44" s="213"/>
      <c r="AA44" s="206">
        <v>1</v>
      </c>
      <c r="AB44" s="207"/>
      <c r="AC44" s="206" t="s">
        <v>74</v>
      </c>
      <c r="AD44" s="364"/>
      <c r="AE44" s="170" t="s">
        <v>300</v>
      </c>
      <c r="AF44" s="171"/>
      <c r="AG44" s="172"/>
      <c r="AH44" s="173" t="s">
        <v>302</v>
      </c>
      <c r="AI44" s="174"/>
      <c r="AJ44" s="175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</row>
    <row r="45" spans="1:83" ht="12" customHeight="1">
      <c r="A45" s="59">
        <f t="shared" si="1"/>
        <v>41</v>
      </c>
      <c r="B45" s="243" t="s">
        <v>90</v>
      </c>
      <c r="C45" s="198"/>
      <c r="D45" s="198"/>
      <c r="E45" s="198"/>
      <c r="F45" s="198"/>
      <c r="G45" s="244"/>
      <c r="H45" s="245"/>
      <c r="I45" s="246"/>
      <c r="J45" s="247"/>
      <c r="K45" s="206"/>
      <c r="L45" s="242"/>
      <c r="M45" s="242"/>
      <c r="N45" s="207"/>
      <c r="O45" s="179"/>
      <c r="P45" s="180"/>
      <c r="Q45" s="180"/>
      <c r="R45" s="181"/>
      <c r="S45" s="270" t="s">
        <v>317</v>
      </c>
      <c r="T45" s="258"/>
      <c r="U45" s="211" t="s">
        <v>318</v>
      </c>
      <c r="V45" s="212"/>
      <c r="W45" s="212"/>
      <c r="X45" s="212"/>
      <c r="Y45" s="212"/>
      <c r="Z45" s="213"/>
      <c r="AA45" s="206">
        <v>1</v>
      </c>
      <c r="AB45" s="207"/>
      <c r="AC45" s="206" t="s">
        <v>319</v>
      </c>
      <c r="AD45" s="364"/>
      <c r="AE45" s="170" t="s">
        <v>300</v>
      </c>
      <c r="AF45" s="171"/>
      <c r="AG45" s="172"/>
      <c r="AH45" s="173" t="s">
        <v>305</v>
      </c>
      <c r="AI45" s="174"/>
      <c r="AJ45" s="175"/>
      <c r="AM45" s="75" t="s">
        <v>320</v>
      </c>
      <c r="AV45" s="51"/>
      <c r="AW45" s="51"/>
      <c r="AX45" s="84" t="s">
        <v>321</v>
      </c>
      <c r="AZ45" s="51"/>
      <c r="BA45" s="51"/>
      <c r="BB45" s="51"/>
      <c r="BC45" s="51"/>
      <c r="BD45" s="51"/>
      <c r="BE45" s="51"/>
      <c r="BF45" s="51"/>
      <c r="BG45" s="84"/>
      <c r="BH45" s="85">
        <v>0.03125</v>
      </c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</row>
    <row r="46" spans="1:83" ht="12" customHeight="1">
      <c r="A46" s="59">
        <f t="shared" si="1"/>
        <v>42</v>
      </c>
      <c r="B46" s="243"/>
      <c r="C46" s="198"/>
      <c r="D46" s="198"/>
      <c r="E46" s="198"/>
      <c r="F46" s="198"/>
      <c r="G46" s="244"/>
      <c r="H46" s="248"/>
      <c r="I46" s="249"/>
      <c r="J46" s="250"/>
      <c r="K46" s="256"/>
      <c r="L46" s="257"/>
      <c r="M46" s="257"/>
      <c r="N46" s="258"/>
      <c r="O46" s="259"/>
      <c r="P46" s="260"/>
      <c r="Q46" s="260"/>
      <c r="R46" s="261"/>
      <c r="S46" s="270"/>
      <c r="T46" s="258"/>
      <c r="U46" s="211" t="s">
        <v>26</v>
      </c>
      <c r="V46" s="212"/>
      <c r="W46" s="212"/>
      <c r="X46" s="212"/>
      <c r="Y46" s="212"/>
      <c r="Z46" s="213"/>
      <c r="AA46" s="206"/>
      <c r="AB46" s="207"/>
      <c r="AC46" s="206" t="s">
        <v>26</v>
      </c>
      <c r="AD46" s="364"/>
      <c r="AE46" s="170" t="s">
        <v>300</v>
      </c>
      <c r="AF46" s="171"/>
      <c r="AG46" s="172"/>
      <c r="AH46" s="173" t="s">
        <v>305</v>
      </c>
      <c r="AI46" s="174"/>
      <c r="AJ46" s="175"/>
      <c r="AM46" s="75" t="s">
        <v>322</v>
      </c>
      <c r="AV46" s="51"/>
      <c r="AW46" s="51"/>
      <c r="AX46" s="84" t="s">
        <v>323</v>
      </c>
      <c r="AZ46" s="51"/>
      <c r="BA46" s="51"/>
      <c r="BB46" s="51"/>
      <c r="BC46" s="51"/>
      <c r="BD46" s="51"/>
      <c r="BE46" s="51"/>
      <c r="BF46" s="51"/>
      <c r="BG46" s="51"/>
      <c r="BH46" s="85">
        <v>0.0625</v>
      </c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</row>
    <row r="47" spans="1:83" ht="12" customHeight="1" thickBot="1">
      <c r="A47" s="59">
        <f t="shared" si="1"/>
        <v>43</v>
      </c>
      <c r="B47" s="375" t="s">
        <v>324</v>
      </c>
      <c r="C47" s="374"/>
      <c r="D47" s="374"/>
      <c r="E47" s="374"/>
      <c r="F47" s="374"/>
      <c r="G47" s="388" t="s">
        <v>96</v>
      </c>
      <c r="H47" s="388"/>
      <c r="I47" s="388"/>
      <c r="J47" s="262" t="s">
        <v>325</v>
      </c>
      <c r="K47" s="262"/>
      <c r="L47" s="251"/>
      <c r="M47" s="251"/>
      <c r="N47" s="251"/>
      <c r="O47" s="251"/>
      <c r="P47" s="251"/>
      <c r="Q47" s="251"/>
      <c r="R47" s="252"/>
      <c r="S47" s="265"/>
      <c r="T47" s="266"/>
      <c r="U47" s="267" t="s">
        <v>26</v>
      </c>
      <c r="V47" s="268"/>
      <c r="W47" s="268"/>
      <c r="X47" s="268"/>
      <c r="Y47" s="268"/>
      <c r="Z47" s="269"/>
      <c r="AA47" s="263"/>
      <c r="AB47" s="264"/>
      <c r="AC47" s="206" t="s">
        <v>26</v>
      </c>
      <c r="AD47" s="364"/>
      <c r="AE47" s="170" t="s">
        <v>300</v>
      </c>
      <c r="AF47" s="171"/>
      <c r="AG47" s="172"/>
      <c r="AH47" s="173" t="s">
        <v>305</v>
      </c>
      <c r="AI47" s="174"/>
      <c r="AJ47" s="175"/>
      <c r="AM47" s="75" t="s">
        <v>95</v>
      </c>
      <c r="AV47" s="51"/>
      <c r="AW47" s="51"/>
      <c r="AX47" s="84" t="s">
        <v>326</v>
      </c>
      <c r="AZ47" s="51"/>
      <c r="BA47" s="51"/>
      <c r="BB47" s="51"/>
      <c r="BC47" s="51"/>
      <c r="BD47" s="51"/>
      <c r="BE47" s="51"/>
      <c r="BF47" s="51"/>
      <c r="BG47" s="51"/>
      <c r="BH47" s="85">
        <v>0.09375</v>
      </c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</row>
    <row r="48" spans="1:83" ht="12" customHeight="1" thickBot="1">
      <c r="A48" s="59">
        <f t="shared" si="1"/>
        <v>44</v>
      </c>
      <c r="B48" s="354" t="s">
        <v>91</v>
      </c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6"/>
      <c r="S48" s="354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6"/>
      <c r="AM48" s="75" t="s">
        <v>327</v>
      </c>
      <c r="AV48" s="51"/>
      <c r="AW48" s="51"/>
      <c r="AX48" s="84" t="s">
        <v>328</v>
      </c>
      <c r="AZ48" s="51"/>
      <c r="BA48" s="51"/>
      <c r="BB48" s="51"/>
      <c r="BC48" s="51"/>
      <c r="BD48" s="51"/>
      <c r="BE48" s="51"/>
      <c r="BF48" s="51"/>
      <c r="BG48" s="51"/>
      <c r="BH48" s="85">
        <v>0.125</v>
      </c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</row>
    <row r="49" spans="1:83" ht="12" customHeight="1">
      <c r="A49" s="59">
        <f t="shared" si="1"/>
        <v>45</v>
      </c>
      <c r="B49" s="160" t="s">
        <v>92</v>
      </c>
      <c r="C49" s="161"/>
      <c r="D49" s="161"/>
      <c r="E49" s="161"/>
      <c r="F49" s="161"/>
      <c r="G49" s="381" t="s">
        <v>93</v>
      </c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2"/>
      <c r="S49" s="160" t="s">
        <v>94</v>
      </c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239" t="s">
        <v>329</v>
      </c>
      <c r="AE49" s="239"/>
      <c r="AF49" s="239"/>
      <c r="AG49" s="239"/>
      <c r="AH49" s="239"/>
      <c r="AI49" s="239"/>
      <c r="AJ49" s="87"/>
      <c r="AM49" s="75" t="s">
        <v>330</v>
      </c>
      <c r="AV49" s="51"/>
      <c r="AW49" s="51"/>
      <c r="AX49" s="84" t="s">
        <v>331</v>
      </c>
      <c r="AZ49" s="51"/>
      <c r="BA49" s="51"/>
      <c r="BB49" s="51"/>
      <c r="BC49" s="51"/>
      <c r="BD49" s="51"/>
      <c r="BE49" s="51"/>
      <c r="BF49" s="51"/>
      <c r="BG49" s="51"/>
      <c r="BH49" s="85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</row>
    <row r="50" spans="1:83" ht="12" customHeight="1">
      <c r="A50" s="59">
        <f t="shared" si="1"/>
        <v>46</v>
      </c>
      <c r="B50" s="243" t="s">
        <v>332</v>
      </c>
      <c r="C50" s="198"/>
      <c r="D50" s="198"/>
      <c r="E50" s="198"/>
      <c r="F50" s="198"/>
      <c r="G50" s="198"/>
      <c r="H50" s="198"/>
      <c r="I50" s="242"/>
      <c r="J50" s="242"/>
      <c r="K50" s="242"/>
      <c r="L50" s="242"/>
      <c r="M50" s="242"/>
      <c r="N50" s="242"/>
      <c r="O50" s="242"/>
      <c r="P50" s="242"/>
      <c r="Q50" s="242"/>
      <c r="R50" s="286"/>
      <c r="S50" s="383" t="s">
        <v>333</v>
      </c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5"/>
      <c r="AM50" s="75" t="s">
        <v>329</v>
      </c>
      <c r="AV50" s="51"/>
      <c r="AW50" s="51"/>
      <c r="AX50" s="84" t="s">
        <v>334</v>
      </c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</row>
    <row r="51" spans="1:83" ht="12" customHeight="1">
      <c r="A51" s="59">
        <f t="shared" si="1"/>
        <v>47</v>
      </c>
      <c r="B51" s="156" t="s">
        <v>335</v>
      </c>
      <c r="C51" s="157"/>
      <c r="D51" s="157"/>
      <c r="E51" s="157"/>
      <c r="F51" s="157"/>
      <c r="G51" s="193" t="s">
        <v>71</v>
      </c>
      <c r="H51" s="193"/>
      <c r="I51" s="61"/>
      <c r="J51" s="61"/>
      <c r="K51" s="208" t="s">
        <v>336</v>
      </c>
      <c r="L51" s="198"/>
      <c r="M51" s="198"/>
      <c r="N51" s="198"/>
      <c r="O51" s="242"/>
      <c r="P51" s="242"/>
      <c r="Q51" s="212" t="s">
        <v>97</v>
      </c>
      <c r="R51" s="287"/>
      <c r="S51" s="156" t="s">
        <v>98</v>
      </c>
      <c r="T51" s="157"/>
      <c r="U51" s="157"/>
      <c r="V51" s="157"/>
      <c r="W51" s="166">
        <v>3</v>
      </c>
      <c r="X51" s="166"/>
      <c r="Y51" s="167"/>
      <c r="Z51" s="386" t="s">
        <v>99</v>
      </c>
      <c r="AA51" s="169"/>
      <c r="AB51" s="169"/>
      <c r="AC51" s="169"/>
      <c r="AD51" s="169"/>
      <c r="AE51" s="169"/>
      <c r="AF51" s="241">
        <v>100</v>
      </c>
      <c r="AG51" s="241"/>
      <c r="AH51" s="241"/>
      <c r="AI51" s="226" t="s">
        <v>100</v>
      </c>
      <c r="AJ51" s="240"/>
      <c r="AM51" s="75" t="s">
        <v>337</v>
      </c>
      <c r="AV51" s="51"/>
      <c r="AW51" s="51"/>
      <c r="AX51" s="84" t="s">
        <v>338</v>
      </c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</row>
    <row r="52" spans="1:83" ht="12" customHeight="1">
      <c r="A52" s="59">
        <f t="shared" si="1"/>
        <v>48</v>
      </c>
      <c r="B52" s="158" t="s">
        <v>339</v>
      </c>
      <c r="C52" s="159"/>
      <c r="D52" s="159"/>
      <c r="E52" s="159"/>
      <c r="F52" s="159"/>
      <c r="G52" s="193" t="s">
        <v>337</v>
      </c>
      <c r="H52" s="193"/>
      <c r="I52" s="193"/>
      <c r="J52" s="193"/>
      <c r="K52" s="193"/>
      <c r="L52" s="61"/>
      <c r="M52" s="376"/>
      <c r="N52" s="376"/>
      <c r="O52" s="376"/>
      <c r="P52" s="376"/>
      <c r="Q52" s="376"/>
      <c r="R52" s="377"/>
      <c r="S52" s="156" t="s">
        <v>101</v>
      </c>
      <c r="T52" s="157"/>
      <c r="U52" s="157"/>
      <c r="V52" s="361">
        <v>85</v>
      </c>
      <c r="W52" s="361"/>
      <c r="X52" s="361"/>
      <c r="Y52" s="61" t="s">
        <v>102</v>
      </c>
      <c r="Z52" s="372" t="s">
        <v>340</v>
      </c>
      <c r="AA52" s="157"/>
      <c r="AB52" s="157"/>
      <c r="AC52" s="157"/>
      <c r="AD52" s="157"/>
      <c r="AE52" s="88"/>
      <c r="AF52" s="193" t="s">
        <v>96</v>
      </c>
      <c r="AG52" s="193"/>
      <c r="AH52" s="89"/>
      <c r="AI52" s="89"/>
      <c r="AJ52" s="90"/>
      <c r="AM52" s="75" t="s">
        <v>341</v>
      </c>
      <c r="AV52" s="51"/>
      <c r="AW52" s="51"/>
      <c r="AX52" s="84" t="s">
        <v>316</v>
      </c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</row>
    <row r="53" spans="1:83" ht="12" customHeight="1" thickBot="1">
      <c r="A53" s="59">
        <f t="shared" si="1"/>
        <v>49</v>
      </c>
      <c r="B53" s="375" t="s">
        <v>342</v>
      </c>
      <c r="C53" s="374"/>
      <c r="D53" s="374"/>
      <c r="E53" s="374"/>
      <c r="F53" s="337" t="s">
        <v>96</v>
      </c>
      <c r="G53" s="337"/>
      <c r="H53" s="64"/>
      <c r="I53" s="262"/>
      <c r="J53" s="380"/>
      <c r="K53" s="373" t="s">
        <v>103</v>
      </c>
      <c r="L53" s="374"/>
      <c r="M53" s="374"/>
      <c r="N53" s="378"/>
      <c r="O53" s="378"/>
      <c r="P53" s="378"/>
      <c r="Q53" s="378"/>
      <c r="R53" s="379"/>
      <c r="S53" s="163" t="s">
        <v>343</v>
      </c>
      <c r="T53" s="164"/>
      <c r="U53" s="164"/>
      <c r="V53" s="164"/>
      <c r="W53" s="164"/>
      <c r="X53" s="162"/>
      <c r="Y53" s="162"/>
      <c r="Z53" s="162"/>
      <c r="AA53" s="86" t="s">
        <v>104</v>
      </c>
      <c r="AB53" s="165" t="s">
        <v>105</v>
      </c>
      <c r="AC53" s="165"/>
      <c r="AD53" s="165"/>
      <c r="AE53" s="165"/>
      <c r="AF53" s="162"/>
      <c r="AG53" s="162"/>
      <c r="AH53" s="162"/>
      <c r="AI53" s="162"/>
      <c r="AJ53" s="86" t="s">
        <v>104</v>
      </c>
      <c r="AM53" s="75" t="s">
        <v>344</v>
      </c>
      <c r="AV53" s="51"/>
      <c r="AW53" s="51"/>
      <c r="AX53" s="84" t="s">
        <v>345</v>
      </c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</row>
    <row r="54" spans="1:83" ht="12" customHeight="1">
      <c r="A54" s="59">
        <f t="shared" si="1"/>
        <v>50</v>
      </c>
      <c r="B54" s="316" t="s">
        <v>346</v>
      </c>
      <c r="C54" s="317"/>
      <c r="D54" s="317"/>
      <c r="E54" s="328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30"/>
      <c r="AM54" s="75" t="s">
        <v>347</v>
      </c>
      <c r="AV54" s="51"/>
      <c r="AW54" s="51"/>
      <c r="AX54" s="84" t="s">
        <v>348</v>
      </c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</row>
    <row r="55" spans="1:83" ht="15" customHeight="1">
      <c r="A55" s="59">
        <f t="shared" si="1"/>
        <v>51</v>
      </c>
      <c r="B55" s="91"/>
      <c r="C55" s="297" t="s">
        <v>113</v>
      </c>
      <c r="D55" s="297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9"/>
      <c r="AV55" s="51"/>
      <c r="AW55" s="51"/>
      <c r="AX55" s="84" t="s">
        <v>349</v>
      </c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</row>
    <row r="56" spans="1:83" ht="15" customHeight="1" thickBot="1">
      <c r="A56" s="59">
        <f t="shared" si="1"/>
        <v>52</v>
      </c>
      <c r="B56" s="92"/>
      <c r="C56" s="300" t="s">
        <v>114</v>
      </c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1"/>
      <c r="AV56" s="51"/>
      <c r="AW56" s="51"/>
      <c r="AX56" s="84" t="s">
        <v>350</v>
      </c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</row>
    <row r="57" spans="1:83" ht="15.75" customHeight="1" thickBot="1">
      <c r="A57" s="59"/>
      <c r="B57" s="190" t="s">
        <v>351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2"/>
      <c r="AV57" s="51"/>
      <c r="AW57" s="51"/>
      <c r="AX57" s="84" t="s">
        <v>352</v>
      </c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</row>
    <row r="58" spans="1:83" ht="12" customHeight="1" thickBot="1">
      <c r="A58" s="59"/>
      <c r="B58" s="93" t="s">
        <v>106</v>
      </c>
      <c r="C58" s="94"/>
      <c r="D58" s="95" t="s">
        <v>107</v>
      </c>
      <c r="E58" s="94"/>
      <c r="F58" s="94"/>
      <c r="G58" s="95" t="s">
        <v>108</v>
      </c>
      <c r="H58" s="94"/>
      <c r="I58" s="94"/>
      <c r="J58" s="94"/>
      <c r="K58" s="94"/>
      <c r="L58" s="94"/>
      <c r="M58" s="95" t="s">
        <v>109</v>
      </c>
      <c r="N58" s="94"/>
      <c r="O58" s="96" t="s">
        <v>110</v>
      </c>
      <c r="P58" s="94"/>
      <c r="Q58" s="302" t="s">
        <v>111</v>
      </c>
      <c r="R58" s="303"/>
      <c r="S58" s="97" t="s">
        <v>106</v>
      </c>
      <c r="T58" s="98"/>
      <c r="U58" s="95" t="s">
        <v>107</v>
      </c>
      <c r="V58" s="94"/>
      <c r="W58" s="94"/>
      <c r="X58" s="95" t="s">
        <v>108</v>
      </c>
      <c r="Y58" s="94"/>
      <c r="Z58" s="94"/>
      <c r="AA58" s="94"/>
      <c r="AB58" s="94"/>
      <c r="AC58" s="94"/>
      <c r="AD58" s="95" t="s">
        <v>109</v>
      </c>
      <c r="AE58" s="94"/>
      <c r="AF58" s="96" t="s">
        <v>110</v>
      </c>
      <c r="AG58" s="94"/>
      <c r="AH58" s="153" t="s">
        <v>111</v>
      </c>
      <c r="AI58" s="154"/>
      <c r="AJ58" s="155"/>
      <c r="AV58" s="51"/>
      <c r="AW58" s="51"/>
      <c r="AX58" s="84" t="s">
        <v>353</v>
      </c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</row>
    <row r="59" spans="1:83" ht="12" customHeight="1">
      <c r="A59" s="59"/>
      <c r="B59" s="312">
        <v>0</v>
      </c>
      <c r="C59" s="296"/>
      <c r="D59" s="313" t="s">
        <v>26</v>
      </c>
      <c r="E59" s="314"/>
      <c r="F59" s="315"/>
      <c r="G59" s="290" t="s">
        <v>112</v>
      </c>
      <c r="H59" s="291"/>
      <c r="I59" s="291"/>
      <c r="J59" s="291"/>
      <c r="K59" s="291"/>
      <c r="L59" s="296"/>
      <c r="M59" s="290"/>
      <c r="N59" s="296"/>
      <c r="O59" s="290" t="s">
        <v>26</v>
      </c>
      <c r="P59" s="296"/>
      <c r="Q59" s="290"/>
      <c r="R59" s="291"/>
      <c r="S59" s="304"/>
      <c r="T59" s="296"/>
      <c r="U59" s="306"/>
      <c r="V59" s="307"/>
      <c r="W59" s="308"/>
      <c r="X59" s="290"/>
      <c r="Y59" s="291"/>
      <c r="Z59" s="291"/>
      <c r="AA59" s="291"/>
      <c r="AB59" s="291"/>
      <c r="AC59" s="296"/>
      <c r="AD59" s="290"/>
      <c r="AE59" s="296"/>
      <c r="AF59" s="290"/>
      <c r="AG59" s="296"/>
      <c r="AH59" s="290"/>
      <c r="AI59" s="291"/>
      <c r="AJ59" s="292"/>
      <c r="AV59" s="51"/>
      <c r="AW59" s="51"/>
      <c r="AX59" s="84" t="s">
        <v>354</v>
      </c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</row>
    <row r="60" spans="1:83" ht="12" customHeight="1" thickBot="1">
      <c r="A60" s="99"/>
      <c r="B60" s="265"/>
      <c r="C60" s="266"/>
      <c r="D60" s="293"/>
      <c r="E60" s="294"/>
      <c r="F60" s="266"/>
      <c r="G60" s="309"/>
      <c r="H60" s="310"/>
      <c r="I60" s="310"/>
      <c r="J60" s="310"/>
      <c r="K60" s="310"/>
      <c r="L60" s="311"/>
      <c r="M60" s="293"/>
      <c r="N60" s="266"/>
      <c r="O60" s="293"/>
      <c r="P60" s="266"/>
      <c r="Q60" s="188"/>
      <c r="R60" s="189"/>
      <c r="S60" s="305"/>
      <c r="T60" s="266"/>
      <c r="U60" s="293"/>
      <c r="V60" s="294"/>
      <c r="W60" s="266"/>
      <c r="X60" s="293"/>
      <c r="Y60" s="294"/>
      <c r="Z60" s="294"/>
      <c r="AA60" s="294"/>
      <c r="AB60" s="294"/>
      <c r="AC60" s="266"/>
      <c r="AD60" s="293"/>
      <c r="AE60" s="266"/>
      <c r="AF60" s="293"/>
      <c r="AG60" s="266"/>
      <c r="AH60" s="293"/>
      <c r="AI60" s="294"/>
      <c r="AJ60" s="295"/>
      <c r="AV60" s="51"/>
      <c r="AW60" s="51"/>
      <c r="AX60" s="84" t="s">
        <v>315</v>
      </c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</row>
    <row r="61" spans="1:50" ht="12" customHeight="1">
      <c r="A61" s="99"/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0"/>
      <c r="R61" s="100"/>
      <c r="S61" s="101"/>
      <c r="T61" s="101"/>
      <c r="U61" s="100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X61" s="84" t="s">
        <v>355</v>
      </c>
    </row>
    <row r="62" spans="1:50" ht="12" customHeight="1">
      <c r="A62" s="99"/>
      <c r="B62" s="83"/>
      <c r="C62" s="102"/>
      <c r="D62" s="102"/>
      <c r="E62" s="102"/>
      <c r="F62" s="83"/>
      <c r="G62" s="103"/>
      <c r="H62" s="102"/>
      <c r="I62" s="102"/>
      <c r="J62" s="102"/>
      <c r="K62" s="102"/>
      <c r="L62" s="104"/>
      <c r="M62" s="100"/>
      <c r="N62" s="100"/>
      <c r="O62" s="100"/>
      <c r="P62" s="100"/>
      <c r="Q62" s="102"/>
      <c r="R62" s="104"/>
      <c r="S62" s="100"/>
      <c r="T62" s="100"/>
      <c r="U62" s="83"/>
      <c r="V62" s="83"/>
      <c r="W62" s="83"/>
      <c r="X62" s="83"/>
      <c r="Y62" s="105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X62" s="84" t="s">
        <v>356</v>
      </c>
    </row>
    <row r="63" spans="1:50" ht="12.75">
      <c r="A63" s="99"/>
      <c r="B63" s="83"/>
      <c r="C63" s="102"/>
      <c r="D63" s="102"/>
      <c r="E63" s="102"/>
      <c r="F63" s="102"/>
      <c r="G63" s="102"/>
      <c r="H63" s="102"/>
      <c r="I63" s="102"/>
      <c r="J63" s="102"/>
      <c r="K63" s="102"/>
      <c r="L63" s="104"/>
      <c r="M63" s="102"/>
      <c r="N63" s="102"/>
      <c r="O63" s="102"/>
      <c r="P63" s="106"/>
      <c r="Q63" s="83"/>
      <c r="R63" s="83"/>
      <c r="S63" s="104"/>
      <c r="T63" s="104"/>
      <c r="U63" s="107"/>
      <c r="V63" s="108"/>
      <c r="W63" s="108"/>
      <c r="X63" s="108"/>
      <c r="Y63" s="109"/>
      <c r="Z63" s="108"/>
      <c r="AA63" s="108"/>
      <c r="AB63" s="108"/>
      <c r="AC63" s="108"/>
      <c r="AD63" s="108"/>
      <c r="AE63" s="108"/>
      <c r="AF63" s="107"/>
      <c r="AG63" s="107"/>
      <c r="AH63" s="110"/>
      <c r="AI63" s="111"/>
      <c r="AX63" s="84" t="s">
        <v>357</v>
      </c>
    </row>
    <row r="64" spans="1:50" ht="12.75">
      <c r="A64" s="99"/>
      <c r="B64" s="83"/>
      <c r="C64" s="83"/>
      <c r="D64" s="83"/>
      <c r="E64" s="83"/>
      <c r="F64" s="83"/>
      <c r="G64" s="83"/>
      <c r="H64" s="83"/>
      <c r="I64" s="83"/>
      <c r="J64" s="103"/>
      <c r="K64" s="83"/>
      <c r="L64" s="104"/>
      <c r="M64" s="83"/>
      <c r="N64" s="83"/>
      <c r="O64" s="83"/>
      <c r="P64" s="103"/>
      <c r="Q64" s="83"/>
      <c r="R64" s="112"/>
      <c r="S64" s="83"/>
      <c r="T64" s="83"/>
      <c r="U64" s="113"/>
      <c r="V64" s="114"/>
      <c r="W64" s="114"/>
      <c r="X64" s="114"/>
      <c r="Y64" s="114"/>
      <c r="Z64" s="114"/>
      <c r="AA64" s="114"/>
      <c r="AB64" s="114"/>
      <c r="AC64" s="114"/>
      <c r="AD64" s="115"/>
      <c r="AE64" s="115"/>
      <c r="AF64" s="115"/>
      <c r="AG64" s="115"/>
      <c r="AH64" s="115"/>
      <c r="AI64" s="116"/>
      <c r="AX64" s="84" t="s">
        <v>358</v>
      </c>
    </row>
    <row r="65" spans="1:50" ht="12.75">
      <c r="A65" s="99"/>
      <c r="B65" s="83"/>
      <c r="C65" s="83"/>
      <c r="D65" s="83"/>
      <c r="E65" s="83"/>
      <c r="F65" s="83"/>
      <c r="G65" s="83"/>
      <c r="H65" s="83"/>
      <c r="I65" s="83"/>
      <c r="J65" s="103"/>
      <c r="K65" s="83"/>
      <c r="L65" s="104"/>
      <c r="M65" s="83"/>
      <c r="N65" s="83"/>
      <c r="O65" s="83"/>
      <c r="P65" s="103"/>
      <c r="Q65" s="83"/>
      <c r="R65" s="117"/>
      <c r="S65" s="112"/>
      <c r="T65" s="112"/>
      <c r="U65" s="118"/>
      <c r="V65" s="119"/>
      <c r="W65" s="119"/>
      <c r="X65" s="119"/>
      <c r="Y65" s="119"/>
      <c r="Z65" s="119"/>
      <c r="AA65" s="119"/>
      <c r="AB65" s="119"/>
      <c r="AC65" s="119"/>
      <c r="AD65" s="114"/>
      <c r="AE65" s="114"/>
      <c r="AF65" s="120"/>
      <c r="AG65" s="120"/>
      <c r="AH65" s="120"/>
      <c r="AI65" s="115"/>
      <c r="AX65" s="84" t="s">
        <v>359</v>
      </c>
    </row>
    <row r="66" spans="1:50" ht="12.75">
      <c r="A66" s="99"/>
      <c r="B66" s="83"/>
      <c r="C66" s="83"/>
      <c r="D66" s="83"/>
      <c r="E66" s="83"/>
      <c r="F66" s="83"/>
      <c r="G66" s="83"/>
      <c r="H66" s="83"/>
      <c r="I66" s="83"/>
      <c r="J66" s="104"/>
      <c r="K66" s="104"/>
      <c r="L66" s="103"/>
      <c r="M66" s="83"/>
      <c r="N66" s="83"/>
      <c r="O66" s="83"/>
      <c r="P66" s="121"/>
      <c r="Q66" s="122"/>
      <c r="R66" s="123"/>
      <c r="S66" s="117"/>
      <c r="T66" s="117"/>
      <c r="U66" s="107"/>
      <c r="V66" s="108"/>
      <c r="W66" s="108"/>
      <c r="X66" s="124"/>
      <c r="Y66" s="108"/>
      <c r="Z66" s="125"/>
      <c r="AA66" s="103"/>
      <c r="AB66" s="124"/>
      <c r="AC66" s="124"/>
      <c r="AD66" s="108"/>
      <c r="AE66" s="108"/>
      <c r="AF66" s="103"/>
      <c r="AG66" s="125"/>
      <c r="AH66" s="107"/>
      <c r="AI66" s="108"/>
      <c r="AX66" s="84" t="s">
        <v>360</v>
      </c>
    </row>
    <row r="67" spans="1:35" ht="12.75">
      <c r="A67" s="99"/>
      <c r="B67" s="83"/>
      <c r="C67" s="83"/>
      <c r="D67" s="83"/>
      <c r="E67" s="83"/>
      <c r="F67" s="83"/>
      <c r="G67" s="83"/>
      <c r="H67" s="83"/>
      <c r="I67" s="83"/>
      <c r="J67" s="83"/>
      <c r="K67" s="104"/>
      <c r="L67" s="114"/>
      <c r="M67" s="123"/>
      <c r="N67" s="83"/>
      <c r="O67" s="83"/>
      <c r="P67" s="121"/>
      <c r="Q67" s="112"/>
      <c r="R67" s="123"/>
      <c r="S67" s="123"/>
      <c r="T67" s="104"/>
      <c r="U67" s="107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7"/>
      <c r="AG67" s="107"/>
      <c r="AH67" s="107"/>
      <c r="AI67" s="108"/>
    </row>
    <row r="68" spans="1:35" ht="12.75">
      <c r="A68" s="99"/>
      <c r="B68" s="83"/>
      <c r="C68" s="83"/>
      <c r="D68" s="83"/>
      <c r="E68" s="83"/>
      <c r="F68" s="83"/>
      <c r="G68" s="83"/>
      <c r="H68" s="83"/>
      <c r="I68" s="83"/>
      <c r="J68" s="103"/>
      <c r="K68" s="83"/>
      <c r="L68" s="83"/>
      <c r="M68" s="114"/>
      <c r="N68" s="83"/>
      <c r="O68" s="83"/>
      <c r="P68" s="121"/>
      <c r="Q68" s="112"/>
      <c r="R68" s="117"/>
      <c r="S68" s="123"/>
      <c r="T68" s="104"/>
      <c r="U68" s="113"/>
      <c r="V68" s="114"/>
      <c r="W68" s="114"/>
      <c r="X68" s="114"/>
      <c r="Y68" s="114"/>
      <c r="Z68" s="114"/>
      <c r="AA68" s="114"/>
      <c r="AB68" s="114"/>
      <c r="AC68" s="114"/>
      <c r="AD68" s="115"/>
      <c r="AE68" s="115"/>
      <c r="AF68" s="115"/>
      <c r="AG68" s="115"/>
      <c r="AH68" s="115"/>
      <c r="AI68" s="116"/>
    </row>
    <row r="69" spans="1:35" ht="12.75">
      <c r="A69" s="99"/>
      <c r="B69" s="10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121"/>
      <c r="Q69" s="112"/>
      <c r="R69" s="112"/>
      <c r="S69" s="123"/>
      <c r="T69" s="104"/>
      <c r="U69" s="113"/>
      <c r="V69" s="114"/>
      <c r="W69" s="114"/>
      <c r="X69" s="114"/>
      <c r="Y69" s="114"/>
      <c r="Z69" s="114"/>
      <c r="AA69" s="114"/>
      <c r="AB69" s="114"/>
      <c r="AC69" s="114"/>
      <c r="AD69" s="115"/>
      <c r="AE69" s="115"/>
      <c r="AF69" s="115"/>
      <c r="AG69" s="115"/>
      <c r="AH69" s="115"/>
      <c r="AI69" s="116"/>
    </row>
    <row r="70" spans="2:35" ht="12.7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103"/>
      <c r="Q70" s="106"/>
      <c r="R70" s="106"/>
      <c r="S70" s="123"/>
      <c r="T70" s="104"/>
      <c r="U70" s="113"/>
      <c r="V70" s="114"/>
      <c r="W70" s="114"/>
      <c r="X70" s="114"/>
      <c r="Y70" s="114"/>
      <c r="Z70" s="114"/>
      <c r="AA70" s="114"/>
      <c r="AB70" s="114"/>
      <c r="AC70" s="114"/>
      <c r="AD70" s="115"/>
      <c r="AE70" s="115"/>
      <c r="AF70" s="115"/>
      <c r="AG70" s="115"/>
      <c r="AH70" s="115"/>
      <c r="AI70" s="116"/>
    </row>
    <row r="71" spans="2:35" ht="12.75">
      <c r="B71" s="83"/>
      <c r="C71" s="102"/>
      <c r="D71" s="102"/>
      <c r="E71" s="126"/>
      <c r="F71" s="83"/>
      <c r="G71" s="102"/>
      <c r="H71" s="102"/>
      <c r="I71" s="83"/>
      <c r="J71" s="102"/>
      <c r="K71" s="102"/>
      <c r="L71" s="102"/>
      <c r="M71" s="102"/>
      <c r="N71" s="102"/>
      <c r="O71" s="123"/>
      <c r="P71" s="127"/>
      <c r="Q71" s="101"/>
      <c r="R71" s="101"/>
      <c r="S71" s="123"/>
      <c r="T71" s="104"/>
      <c r="U71" s="113"/>
      <c r="V71" s="114"/>
      <c r="W71" s="114"/>
      <c r="X71" s="114"/>
      <c r="Y71" s="114"/>
      <c r="Z71" s="114"/>
      <c r="AA71" s="114"/>
      <c r="AB71" s="114"/>
      <c r="AC71" s="114"/>
      <c r="AD71" s="115"/>
      <c r="AE71" s="115"/>
      <c r="AF71" s="115"/>
      <c r="AG71" s="115"/>
      <c r="AH71" s="115"/>
      <c r="AI71" s="116"/>
    </row>
    <row r="72" spans="2:35" ht="12.75"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28"/>
      <c r="R72" s="128"/>
      <c r="S72" s="101"/>
      <c r="T72" s="101"/>
      <c r="U72" s="113"/>
      <c r="V72" s="114"/>
      <c r="W72" s="114"/>
      <c r="X72" s="114"/>
      <c r="Y72" s="114"/>
      <c r="Z72" s="114"/>
      <c r="AA72" s="114"/>
      <c r="AB72" s="114"/>
      <c r="AC72" s="114"/>
      <c r="AD72" s="115"/>
      <c r="AE72" s="115"/>
      <c r="AF72" s="115"/>
      <c r="AG72" s="115"/>
      <c r="AH72" s="115"/>
      <c r="AI72" s="116"/>
    </row>
    <row r="73" spans="2:35" ht="12.7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29"/>
      <c r="N73" s="100"/>
      <c r="O73" s="100"/>
      <c r="P73" s="129"/>
      <c r="Q73" s="112"/>
      <c r="R73" s="112"/>
      <c r="S73" s="129"/>
      <c r="T73" s="100"/>
      <c r="U73" s="113"/>
      <c r="V73" s="114"/>
      <c r="W73" s="114"/>
      <c r="X73" s="114"/>
      <c r="Y73" s="114"/>
      <c r="Z73" s="114"/>
      <c r="AA73" s="114"/>
      <c r="AB73" s="114"/>
      <c r="AC73" s="114"/>
      <c r="AD73" s="115"/>
      <c r="AE73" s="115"/>
      <c r="AF73" s="115"/>
      <c r="AG73" s="115"/>
      <c r="AH73" s="115"/>
      <c r="AI73" s="116"/>
    </row>
    <row r="74" spans="2:35" ht="12.7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103"/>
      <c r="N74" s="83"/>
      <c r="O74" s="83"/>
      <c r="P74" s="103"/>
      <c r="Q74" s="112"/>
      <c r="R74" s="112"/>
      <c r="S74" s="123"/>
      <c r="T74" s="104"/>
      <c r="U74" s="113"/>
      <c r="V74" s="114"/>
      <c r="W74" s="114"/>
      <c r="X74" s="114"/>
      <c r="Y74" s="114"/>
      <c r="Z74" s="114"/>
      <c r="AA74" s="114"/>
      <c r="AB74" s="114"/>
      <c r="AC74" s="114"/>
      <c r="AD74" s="115"/>
      <c r="AE74" s="115"/>
      <c r="AF74" s="115"/>
      <c r="AG74" s="115"/>
      <c r="AH74" s="115"/>
      <c r="AI74" s="116"/>
    </row>
    <row r="75" spans="2:35" ht="12.75">
      <c r="B75" s="83"/>
      <c r="C75" s="83"/>
      <c r="D75" s="83"/>
      <c r="E75" s="83"/>
      <c r="F75" s="83"/>
      <c r="G75" s="104"/>
      <c r="H75" s="83"/>
      <c r="I75" s="83"/>
      <c r="J75" s="83"/>
      <c r="K75" s="83"/>
      <c r="L75" s="83"/>
      <c r="M75" s="103"/>
      <c r="N75" s="83"/>
      <c r="O75" s="83"/>
      <c r="P75" s="103"/>
      <c r="Q75" s="112"/>
      <c r="R75" s="112"/>
      <c r="S75" s="123"/>
      <c r="T75" s="104"/>
      <c r="U75" s="113"/>
      <c r="V75" s="114"/>
      <c r="W75" s="114"/>
      <c r="X75" s="114"/>
      <c r="Y75" s="114"/>
      <c r="Z75" s="114"/>
      <c r="AA75" s="114"/>
      <c r="AB75" s="114"/>
      <c r="AC75" s="114"/>
      <c r="AD75" s="115"/>
      <c r="AE75" s="115"/>
      <c r="AF75" s="115"/>
      <c r="AG75" s="115"/>
      <c r="AH75" s="115"/>
      <c r="AI75" s="116"/>
    </row>
    <row r="76" spans="2:35" ht="12.75">
      <c r="B76" s="83"/>
      <c r="C76" s="83"/>
      <c r="D76" s="83"/>
      <c r="E76" s="83"/>
      <c r="F76" s="83"/>
      <c r="G76" s="104"/>
      <c r="H76" s="83"/>
      <c r="I76" s="83"/>
      <c r="J76" s="83"/>
      <c r="K76" s="83"/>
      <c r="L76" s="83"/>
      <c r="M76" s="103"/>
      <c r="N76" s="83"/>
      <c r="O76" s="83"/>
      <c r="P76" s="103"/>
      <c r="Q76" s="112"/>
      <c r="R76" s="112"/>
      <c r="S76" s="123"/>
      <c r="T76" s="104"/>
      <c r="U76" s="113"/>
      <c r="V76" s="114"/>
      <c r="W76" s="114"/>
      <c r="X76" s="114"/>
      <c r="Y76" s="114"/>
      <c r="Z76" s="114"/>
      <c r="AA76" s="114"/>
      <c r="AB76" s="114"/>
      <c r="AC76" s="114"/>
      <c r="AD76" s="115"/>
      <c r="AE76" s="115"/>
      <c r="AF76" s="115"/>
      <c r="AG76" s="115"/>
      <c r="AH76" s="115"/>
      <c r="AI76" s="116"/>
    </row>
    <row r="77" spans="2:35" ht="12.7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103"/>
      <c r="N77" s="83"/>
      <c r="O77" s="83"/>
      <c r="P77" s="103"/>
      <c r="Q77" s="112"/>
      <c r="R77" s="112"/>
      <c r="S77" s="123"/>
      <c r="T77" s="104"/>
      <c r="U77" s="113"/>
      <c r="V77" s="114"/>
      <c r="W77" s="114"/>
      <c r="X77" s="114"/>
      <c r="Y77" s="114"/>
      <c r="Z77" s="114"/>
      <c r="AA77" s="114"/>
      <c r="AB77" s="114"/>
      <c r="AC77" s="114"/>
      <c r="AD77" s="115"/>
      <c r="AE77" s="115"/>
      <c r="AF77" s="115"/>
      <c r="AG77" s="115"/>
      <c r="AH77" s="115"/>
      <c r="AI77" s="116"/>
    </row>
    <row r="78" spans="2:35" ht="12.75">
      <c r="B78" s="83"/>
      <c r="C78" s="102"/>
      <c r="D78" s="102"/>
      <c r="E78" s="126"/>
      <c r="F78" s="83"/>
      <c r="G78" s="102"/>
      <c r="H78" s="83"/>
      <c r="I78" s="83"/>
      <c r="J78" s="83"/>
      <c r="K78" s="83"/>
      <c r="L78" s="83"/>
      <c r="M78" s="103"/>
      <c r="N78" s="83"/>
      <c r="O78" s="83"/>
      <c r="P78" s="103"/>
      <c r="Q78" s="101"/>
      <c r="R78" s="101"/>
      <c r="S78" s="123"/>
      <c r="T78" s="104"/>
      <c r="U78" s="113"/>
      <c r="V78" s="114"/>
      <c r="W78" s="114"/>
      <c r="X78" s="114"/>
      <c r="Y78" s="114"/>
      <c r="Z78" s="114"/>
      <c r="AA78" s="114"/>
      <c r="AB78" s="114"/>
      <c r="AC78" s="114"/>
      <c r="AD78" s="115"/>
      <c r="AE78" s="115"/>
      <c r="AF78" s="115"/>
      <c r="AG78" s="115"/>
      <c r="AH78" s="115"/>
      <c r="AI78" s="116"/>
    </row>
    <row r="79" spans="2:35" ht="12.75"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30"/>
      <c r="R79" s="131"/>
      <c r="S79" s="101"/>
      <c r="T79" s="101"/>
      <c r="U79" s="113"/>
      <c r="V79" s="114"/>
      <c r="W79" s="114"/>
      <c r="X79" s="114"/>
      <c r="Y79" s="114"/>
      <c r="Z79" s="114"/>
      <c r="AA79" s="114"/>
      <c r="AB79" s="114"/>
      <c r="AC79" s="114"/>
      <c r="AD79" s="115"/>
      <c r="AE79" s="115"/>
      <c r="AF79" s="115"/>
      <c r="AG79" s="115"/>
      <c r="AH79" s="115"/>
      <c r="AI79" s="116"/>
    </row>
    <row r="80" spans="2:35" ht="12.75">
      <c r="B80" s="83"/>
      <c r="C80" s="102"/>
      <c r="D80" s="102"/>
      <c r="E80" s="102"/>
      <c r="F80" s="103"/>
      <c r="G80" s="102"/>
      <c r="H80" s="102"/>
      <c r="I80" s="102"/>
      <c r="J80" s="102"/>
      <c r="K80" s="104"/>
      <c r="L80" s="114"/>
      <c r="M80" s="83"/>
      <c r="N80" s="53"/>
      <c r="O80" s="113"/>
      <c r="P80" s="132"/>
      <c r="Q80" s="133"/>
      <c r="R80" s="131"/>
      <c r="S80" s="131"/>
      <c r="T80" s="104"/>
      <c r="U80" s="113"/>
      <c r="V80" s="114"/>
      <c r="W80" s="114"/>
      <c r="X80" s="114"/>
      <c r="Y80" s="114"/>
      <c r="Z80" s="114"/>
      <c r="AA80" s="114"/>
      <c r="AB80" s="114"/>
      <c r="AC80" s="114"/>
      <c r="AD80" s="115"/>
      <c r="AE80" s="115"/>
      <c r="AF80" s="115"/>
      <c r="AG80" s="115"/>
      <c r="AH80" s="115"/>
      <c r="AI80" s="116"/>
    </row>
    <row r="81" spans="2:35" ht="12.75">
      <c r="B81" s="83"/>
      <c r="C81" s="102"/>
      <c r="D81" s="102"/>
      <c r="E81" s="102"/>
      <c r="F81" s="103"/>
      <c r="G81" s="102"/>
      <c r="H81" s="101"/>
      <c r="I81" s="102"/>
      <c r="J81" s="103"/>
      <c r="K81" s="83"/>
      <c r="L81" s="83"/>
      <c r="M81" s="83"/>
      <c r="N81" s="102"/>
      <c r="O81" s="132"/>
      <c r="P81" s="132"/>
      <c r="Q81" s="101"/>
      <c r="R81" s="130"/>
      <c r="S81" s="131"/>
      <c r="T81" s="108"/>
      <c r="U81" s="113"/>
      <c r="V81" s="114"/>
      <c r="W81" s="114"/>
      <c r="X81" s="114"/>
      <c r="Y81" s="114"/>
      <c r="Z81" s="114"/>
      <c r="AA81" s="114"/>
      <c r="AB81" s="114"/>
      <c r="AC81" s="114"/>
      <c r="AD81" s="115"/>
      <c r="AE81" s="115"/>
      <c r="AF81" s="115"/>
      <c r="AG81" s="115"/>
      <c r="AH81" s="115"/>
      <c r="AI81" s="116"/>
    </row>
    <row r="82" spans="2:35" ht="12.75">
      <c r="B82" s="83"/>
      <c r="C82" s="102"/>
      <c r="D82" s="102"/>
      <c r="E82" s="102"/>
      <c r="F82" s="103"/>
      <c r="G82" s="102"/>
      <c r="H82" s="102"/>
      <c r="I82" s="101"/>
      <c r="J82" s="101"/>
      <c r="K82" s="134"/>
      <c r="L82" s="114"/>
      <c r="M82" s="83"/>
      <c r="N82" s="102"/>
      <c r="O82" s="132"/>
      <c r="P82" s="132"/>
      <c r="Q82" s="132"/>
      <c r="R82" s="103"/>
      <c r="S82" s="131"/>
      <c r="T82" s="135"/>
      <c r="U82" s="113"/>
      <c r="V82" s="114"/>
      <c r="W82" s="114"/>
      <c r="X82" s="114"/>
      <c r="Y82" s="114"/>
      <c r="Z82" s="114"/>
      <c r="AA82" s="114"/>
      <c r="AB82" s="114"/>
      <c r="AC82" s="114"/>
      <c r="AD82" s="115"/>
      <c r="AE82" s="115"/>
      <c r="AF82" s="115"/>
      <c r="AG82" s="115"/>
      <c r="AH82" s="115"/>
      <c r="AI82" s="116"/>
    </row>
    <row r="83" spans="2:35" ht="12.75">
      <c r="B83" s="103"/>
      <c r="C83" s="102"/>
      <c r="D83" s="102"/>
      <c r="E83" s="102"/>
      <c r="F83" s="103"/>
      <c r="G83" s="103"/>
      <c r="H83" s="102"/>
      <c r="I83" s="102"/>
      <c r="J83" s="102"/>
      <c r="K83" s="101"/>
      <c r="L83" s="102"/>
      <c r="M83" s="102"/>
      <c r="N83" s="83"/>
      <c r="O83" s="102"/>
      <c r="P83" s="132"/>
      <c r="Q83" s="133"/>
      <c r="R83" s="131"/>
      <c r="S83" s="131"/>
      <c r="T83" s="108"/>
      <c r="U83" s="113"/>
      <c r="V83" s="114"/>
      <c r="W83" s="114"/>
      <c r="X83" s="114"/>
      <c r="Y83" s="114"/>
      <c r="Z83" s="114"/>
      <c r="AA83" s="114"/>
      <c r="AB83" s="114"/>
      <c r="AC83" s="114"/>
      <c r="AD83" s="115"/>
      <c r="AE83" s="115"/>
      <c r="AF83" s="115"/>
      <c r="AG83" s="115"/>
      <c r="AH83" s="115"/>
      <c r="AI83" s="116"/>
    </row>
    <row r="84" spans="2:35" ht="12.75">
      <c r="B84" s="83"/>
      <c r="C84" s="103"/>
      <c r="D84" s="102"/>
      <c r="E84" s="102"/>
      <c r="F84" s="103"/>
      <c r="G84" s="102"/>
      <c r="H84" s="101"/>
      <c r="I84" s="102"/>
      <c r="J84" s="103"/>
      <c r="K84" s="83"/>
      <c r="L84" s="83"/>
      <c r="M84" s="83"/>
      <c r="N84" s="102"/>
      <c r="O84" s="132"/>
      <c r="P84" s="132"/>
      <c r="Q84" s="133"/>
      <c r="R84" s="131"/>
      <c r="S84" s="131"/>
      <c r="T84" s="136"/>
      <c r="U84" s="113"/>
      <c r="V84" s="114"/>
      <c r="W84" s="114"/>
      <c r="X84" s="114"/>
      <c r="Y84" s="114"/>
      <c r="Z84" s="114"/>
      <c r="AA84" s="114"/>
      <c r="AB84" s="114"/>
      <c r="AC84" s="114"/>
      <c r="AD84" s="115"/>
      <c r="AE84" s="115"/>
      <c r="AF84" s="115"/>
      <c r="AG84" s="115"/>
      <c r="AH84" s="115"/>
      <c r="AI84" s="116"/>
    </row>
    <row r="85" spans="2:35" ht="12.75">
      <c r="B85" s="83"/>
      <c r="C85" s="102"/>
      <c r="D85" s="102"/>
      <c r="E85" s="102"/>
      <c r="F85" s="103"/>
      <c r="G85" s="102"/>
      <c r="H85" s="102"/>
      <c r="I85" s="102"/>
      <c r="J85" s="103"/>
      <c r="K85" s="83"/>
      <c r="L85" s="83"/>
      <c r="M85" s="83"/>
      <c r="N85" s="102"/>
      <c r="O85" s="132"/>
      <c r="P85" s="132"/>
      <c r="Q85" s="133"/>
      <c r="R85" s="131"/>
      <c r="S85" s="131"/>
      <c r="T85" s="108"/>
      <c r="U85" s="113"/>
      <c r="V85" s="114"/>
      <c r="W85" s="114"/>
      <c r="X85" s="114"/>
      <c r="Y85" s="114"/>
      <c r="Z85" s="114"/>
      <c r="AA85" s="114"/>
      <c r="AB85" s="114"/>
      <c r="AC85" s="114"/>
      <c r="AD85" s="115"/>
      <c r="AE85" s="115"/>
      <c r="AF85" s="115"/>
      <c r="AG85" s="115"/>
      <c r="AH85" s="115"/>
      <c r="AI85" s="116"/>
    </row>
    <row r="86" spans="2:35" ht="12.75">
      <c r="B86" s="83"/>
      <c r="C86" s="102"/>
      <c r="D86" s="102"/>
      <c r="E86" s="102"/>
      <c r="F86" s="103"/>
      <c r="G86" s="103"/>
      <c r="H86" s="103"/>
      <c r="I86" s="103"/>
      <c r="J86" s="103"/>
      <c r="K86" s="103"/>
      <c r="L86" s="103"/>
      <c r="M86" s="103"/>
      <c r="N86" s="114"/>
      <c r="O86" s="132"/>
      <c r="P86" s="132"/>
      <c r="Q86" s="133"/>
      <c r="R86" s="131"/>
      <c r="S86" s="131"/>
      <c r="T86" s="108"/>
      <c r="U86" s="113"/>
      <c r="V86" s="114"/>
      <c r="W86" s="114"/>
      <c r="X86" s="114"/>
      <c r="Y86" s="114"/>
      <c r="Z86" s="114"/>
      <c r="AA86" s="114"/>
      <c r="AB86" s="114"/>
      <c r="AC86" s="114"/>
      <c r="AD86" s="115"/>
      <c r="AE86" s="115"/>
      <c r="AF86" s="115"/>
      <c r="AG86" s="115"/>
      <c r="AH86" s="115"/>
      <c r="AI86" s="116"/>
    </row>
    <row r="87" spans="2:35" ht="12.75">
      <c r="B87" s="83"/>
      <c r="C87" s="102"/>
      <c r="D87" s="102"/>
      <c r="E87" s="102"/>
      <c r="F87" s="103"/>
      <c r="G87" s="102"/>
      <c r="H87" s="101"/>
      <c r="I87" s="102"/>
      <c r="J87" s="103"/>
      <c r="K87" s="83"/>
      <c r="L87" s="83"/>
      <c r="M87" s="83"/>
      <c r="N87" s="102"/>
      <c r="O87" s="132"/>
      <c r="P87" s="132"/>
      <c r="Q87" s="133"/>
      <c r="R87" s="131"/>
      <c r="S87" s="131"/>
      <c r="T87" s="108"/>
      <c r="U87" s="113"/>
      <c r="V87" s="114"/>
      <c r="W87" s="114"/>
      <c r="X87" s="114"/>
      <c r="Y87" s="114"/>
      <c r="Z87" s="114"/>
      <c r="AA87" s="114"/>
      <c r="AB87" s="114"/>
      <c r="AC87" s="114"/>
      <c r="AD87" s="115"/>
      <c r="AE87" s="115"/>
      <c r="AF87" s="115"/>
      <c r="AG87" s="115"/>
      <c r="AH87" s="115"/>
      <c r="AI87" s="116"/>
    </row>
    <row r="88" spans="2:35" ht="12.75">
      <c r="B88" s="83"/>
      <c r="C88" s="102"/>
      <c r="D88" s="102"/>
      <c r="E88" s="102"/>
      <c r="F88" s="103"/>
      <c r="G88" s="102"/>
      <c r="H88" s="101"/>
      <c r="I88" s="102"/>
      <c r="J88" s="103"/>
      <c r="K88" s="83"/>
      <c r="L88" s="83"/>
      <c r="M88" s="83"/>
      <c r="N88" s="102"/>
      <c r="O88" s="132"/>
      <c r="P88" s="132"/>
      <c r="Q88" s="114"/>
      <c r="R88" s="131"/>
      <c r="S88" s="131"/>
      <c r="T88" s="108"/>
      <c r="U88" s="113"/>
      <c r="V88" s="114"/>
      <c r="W88" s="114"/>
      <c r="X88" s="114"/>
      <c r="Y88" s="114"/>
      <c r="Z88" s="114"/>
      <c r="AA88" s="114"/>
      <c r="AB88" s="114"/>
      <c r="AC88" s="114"/>
      <c r="AD88" s="115"/>
      <c r="AE88" s="115"/>
      <c r="AF88" s="115"/>
      <c r="AG88" s="115"/>
      <c r="AH88" s="115"/>
      <c r="AI88" s="116"/>
    </row>
    <row r="89" spans="2:35" ht="12.75">
      <c r="B89" s="83"/>
      <c r="C89" s="102"/>
      <c r="D89" s="102"/>
      <c r="E89" s="102"/>
      <c r="F89" s="103"/>
      <c r="G89" s="102"/>
      <c r="H89" s="101"/>
      <c r="I89" s="102"/>
      <c r="J89" s="113"/>
      <c r="K89" s="83"/>
      <c r="L89" s="83"/>
      <c r="M89" s="83"/>
      <c r="N89" s="102"/>
      <c r="O89" s="132"/>
      <c r="P89" s="114"/>
      <c r="Q89" s="101"/>
      <c r="R89" s="101"/>
      <c r="S89" s="131"/>
      <c r="T89" s="108"/>
      <c r="U89" s="113"/>
      <c r="V89" s="114"/>
      <c r="W89" s="114"/>
      <c r="X89" s="114"/>
      <c r="Y89" s="114"/>
      <c r="Z89" s="114"/>
      <c r="AA89" s="114"/>
      <c r="AB89" s="114"/>
      <c r="AC89" s="114"/>
      <c r="AD89" s="115"/>
      <c r="AE89" s="115"/>
      <c r="AF89" s="115"/>
      <c r="AG89" s="115"/>
      <c r="AH89" s="115"/>
      <c r="AI89" s="116"/>
    </row>
    <row r="90" spans="2:35" ht="12.75"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33"/>
      <c r="R90" s="131"/>
      <c r="S90" s="101"/>
      <c r="T90" s="101"/>
      <c r="U90" s="113"/>
      <c r="V90" s="114"/>
      <c r="W90" s="114"/>
      <c r="X90" s="114"/>
      <c r="Y90" s="114"/>
      <c r="Z90" s="114"/>
      <c r="AA90" s="114"/>
      <c r="AB90" s="114"/>
      <c r="AC90" s="114"/>
      <c r="AD90" s="115"/>
      <c r="AE90" s="115"/>
      <c r="AF90" s="115"/>
      <c r="AG90" s="115"/>
      <c r="AH90" s="115"/>
      <c r="AI90" s="116"/>
    </row>
    <row r="91" spans="2:35" ht="12.75">
      <c r="B91" s="101"/>
      <c r="C91" s="101"/>
      <c r="D91" s="101"/>
      <c r="E91" s="101"/>
      <c r="F91" s="137"/>
      <c r="G91" s="101"/>
      <c r="H91" s="101"/>
      <c r="I91" s="101"/>
      <c r="J91" s="137"/>
      <c r="K91" s="101"/>
      <c r="L91" s="101"/>
      <c r="M91" s="101"/>
      <c r="N91" s="132"/>
      <c r="O91" s="138"/>
      <c r="P91" s="138"/>
      <c r="Q91" s="133"/>
      <c r="R91" s="131"/>
      <c r="S91" s="131"/>
      <c r="T91" s="139"/>
      <c r="U91" s="113"/>
      <c r="V91" s="114"/>
      <c r="W91" s="114"/>
      <c r="X91" s="114"/>
      <c r="Y91" s="114"/>
      <c r="Z91" s="114"/>
      <c r="AA91" s="114"/>
      <c r="AB91" s="114"/>
      <c r="AC91" s="114"/>
      <c r="AD91" s="115"/>
      <c r="AE91" s="115"/>
      <c r="AF91" s="115"/>
      <c r="AG91" s="115"/>
      <c r="AH91" s="115"/>
      <c r="AI91" s="116"/>
    </row>
    <row r="92" spans="2:35" ht="12.75">
      <c r="B92" s="101"/>
      <c r="C92" s="101"/>
      <c r="D92" s="102"/>
      <c r="E92" s="102"/>
      <c r="F92" s="103"/>
      <c r="G92" s="102"/>
      <c r="H92" s="101"/>
      <c r="I92" s="102"/>
      <c r="J92" s="103"/>
      <c r="K92" s="101"/>
      <c r="L92" s="101"/>
      <c r="M92" s="101"/>
      <c r="N92" s="101"/>
      <c r="O92" s="138"/>
      <c r="P92" s="140"/>
      <c r="Q92" s="133"/>
      <c r="R92" s="131"/>
      <c r="S92" s="131"/>
      <c r="T92" s="139"/>
      <c r="U92" s="113"/>
      <c r="V92" s="114"/>
      <c r="W92" s="114"/>
      <c r="X92" s="114"/>
      <c r="Y92" s="114"/>
      <c r="Z92" s="114"/>
      <c r="AA92" s="114"/>
      <c r="AB92" s="114"/>
      <c r="AC92" s="114"/>
      <c r="AD92" s="115"/>
      <c r="AE92" s="115"/>
      <c r="AF92" s="115"/>
      <c r="AG92" s="115"/>
      <c r="AH92" s="115"/>
      <c r="AI92" s="116"/>
    </row>
    <row r="93" spans="2:35" ht="12.75">
      <c r="B93" s="101"/>
      <c r="C93" s="101"/>
      <c r="D93" s="102"/>
      <c r="E93" s="102"/>
      <c r="F93" s="103"/>
      <c r="G93" s="102"/>
      <c r="H93" s="101"/>
      <c r="I93" s="102"/>
      <c r="J93" s="103"/>
      <c r="K93" s="101"/>
      <c r="L93" s="101"/>
      <c r="M93" s="101"/>
      <c r="N93" s="101"/>
      <c r="O93" s="138"/>
      <c r="P93" s="140"/>
      <c r="Q93" s="133"/>
      <c r="R93" s="131"/>
      <c r="S93" s="131"/>
      <c r="T93" s="139"/>
      <c r="U93" s="113"/>
      <c r="V93" s="114"/>
      <c r="W93" s="114"/>
      <c r="X93" s="114"/>
      <c r="Y93" s="114"/>
      <c r="Z93" s="114"/>
      <c r="AA93" s="114"/>
      <c r="AB93" s="113"/>
      <c r="AC93" s="113"/>
      <c r="AD93" s="114"/>
      <c r="AE93" s="114"/>
      <c r="AF93" s="114"/>
      <c r="AG93" s="114"/>
      <c r="AH93" s="133"/>
      <c r="AI93" s="133"/>
    </row>
    <row r="94" spans="2:35" ht="12.75">
      <c r="B94" s="101"/>
      <c r="C94" s="101"/>
      <c r="D94" s="102"/>
      <c r="E94" s="102"/>
      <c r="F94" s="103"/>
      <c r="G94" s="102"/>
      <c r="H94" s="101"/>
      <c r="I94" s="102"/>
      <c r="J94" s="103"/>
      <c r="K94" s="101"/>
      <c r="L94" s="101"/>
      <c r="M94" s="101"/>
      <c r="N94" s="101"/>
      <c r="O94" s="138"/>
      <c r="P94" s="140"/>
      <c r="Q94" s="133"/>
      <c r="R94" s="131"/>
      <c r="S94" s="131"/>
      <c r="T94" s="139"/>
      <c r="U94" s="83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</row>
    <row r="95" spans="2:35" ht="12.75">
      <c r="B95" s="101"/>
      <c r="C95" s="101"/>
      <c r="D95" s="102"/>
      <c r="E95" s="102"/>
      <c r="F95" s="103"/>
      <c r="G95" s="102"/>
      <c r="H95" s="101"/>
      <c r="I95" s="102"/>
      <c r="J95" s="103"/>
      <c r="K95" s="101"/>
      <c r="L95" s="101"/>
      <c r="M95" s="101"/>
      <c r="N95" s="101"/>
      <c r="O95" s="138"/>
      <c r="P95" s="140"/>
      <c r="Q95" s="133"/>
      <c r="R95" s="131"/>
      <c r="S95" s="131"/>
      <c r="T95" s="139"/>
      <c r="U95" s="83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</row>
    <row r="96" spans="2:35" ht="12.75">
      <c r="B96" s="101"/>
      <c r="C96" s="101"/>
      <c r="D96" s="102"/>
      <c r="E96" s="102"/>
      <c r="F96" s="103"/>
      <c r="G96" s="102"/>
      <c r="H96" s="101"/>
      <c r="I96" s="102"/>
      <c r="J96" s="103"/>
      <c r="K96" s="101"/>
      <c r="L96" s="101"/>
      <c r="M96" s="101"/>
      <c r="N96" s="101"/>
      <c r="O96" s="138"/>
      <c r="P96" s="140"/>
      <c r="Q96" s="133"/>
      <c r="R96" s="131"/>
      <c r="S96" s="131"/>
      <c r="T96" s="139"/>
      <c r="U96" s="83"/>
      <c r="V96" s="114"/>
      <c r="W96" s="114"/>
      <c r="X96" s="141"/>
      <c r="Y96" s="114"/>
      <c r="Z96" s="114"/>
      <c r="AA96" s="114"/>
      <c r="AB96" s="114"/>
      <c r="AD96" s="114"/>
      <c r="AE96" s="114"/>
      <c r="AF96" s="114"/>
      <c r="AG96" s="114"/>
      <c r="AH96" s="114"/>
      <c r="AI96" s="114"/>
    </row>
    <row r="97" spans="2:35" ht="12.75">
      <c r="B97" s="101"/>
      <c r="C97" s="101"/>
      <c r="D97" s="102"/>
      <c r="E97" s="102"/>
      <c r="F97" s="103"/>
      <c r="G97" s="102"/>
      <c r="H97" s="101"/>
      <c r="I97" s="102"/>
      <c r="J97" s="103"/>
      <c r="K97" s="101"/>
      <c r="L97" s="101"/>
      <c r="M97" s="101"/>
      <c r="N97" s="101"/>
      <c r="O97" s="138"/>
      <c r="P97" s="140"/>
      <c r="Q97" s="133"/>
      <c r="R97" s="131"/>
      <c r="S97" s="131"/>
      <c r="T97" s="139"/>
      <c r="U97" s="83"/>
      <c r="V97" s="114"/>
      <c r="W97" s="114"/>
      <c r="X97" s="141"/>
      <c r="Y97" s="114"/>
      <c r="Z97" s="114"/>
      <c r="AA97" s="114"/>
      <c r="AB97" s="114"/>
      <c r="AD97" s="114"/>
      <c r="AE97" s="114"/>
      <c r="AF97" s="114"/>
      <c r="AG97" s="114"/>
      <c r="AH97" s="114"/>
      <c r="AI97" s="114"/>
    </row>
    <row r="98" spans="2:35" ht="12.75">
      <c r="B98" s="83"/>
      <c r="C98" s="102"/>
      <c r="D98" s="102"/>
      <c r="E98" s="102"/>
      <c r="F98" s="103"/>
      <c r="G98" s="102"/>
      <c r="H98" s="101"/>
      <c r="I98" s="102"/>
      <c r="J98" s="103"/>
      <c r="K98" s="83"/>
      <c r="L98" s="83"/>
      <c r="M98" s="83"/>
      <c r="N98" s="102"/>
      <c r="O98" s="132"/>
      <c r="P98" s="132"/>
      <c r="Q98" s="133"/>
      <c r="R98" s="131"/>
      <c r="S98" s="131"/>
      <c r="T98" s="108"/>
      <c r="U98" s="83"/>
      <c r="V98" s="114"/>
      <c r="W98" s="114"/>
      <c r="X98" s="141"/>
      <c r="Y98" s="114"/>
      <c r="Z98" s="114"/>
      <c r="AA98" s="114"/>
      <c r="AB98" s="114"/>
      <c r="AD98" s="114"/>
      <c r="AE98" s="114"/>
      <c r="AF98" s="114"/>
      <c r="AG98" s="114"/>
      <c r="AH98" s="114"/>
      <c r="AI98" s="114"/>
    </row>
    <row r="99" spans="2:35" ht="12.75">
      <c r="B99" s="83"/>
      <c r="C99" s="102"/>
      <c r="D99" s="102"/>
      <c r="E99" s="102"/>
      <c r="F99" s="103"/>
      <c r="G99" s="102"/>
      <c r="H99" s="101"/>
      <c r="I99" s="102"/>
      <c r="J99" s="103"/>
      <c r="K99" s="83"/>
      <c r="L99" s="83"/>
      <c r="M99" s="83"/>
      <c r="N99" s="102"/>
      <c r="O99" s="132"/>
      <c r="P99" s="132"/>
      <c r="Q99" s="133"/>
      <c r="R99" s="131"/>
      <c r="S99" s="131"/>
      <c r="T99" s="108"/>
      <c r="U99" s="83"/>
      <c r="V99" s="114"/>
      <c r="W99" s="114"/>
      <c r="X99" s="141"/>
      <c r="Y99" s="114"/>
      <c r="Z99" s="114"/>
      <c r="AA99" s="114"/>
      <c r="AB99" s="114"/>
      <c r="AD99" s="114"/>
      <c r="AE99" s="114"/>
      <c r="AF99" s="114"/>
      <c r="AG99" s="114"/>
      <c r="AH99" s="114"/>
      <c r="AI99" s="114"/>
    </row>
    <row r="100" spans="2:35" ht="12.75">
      <c r="B100" s="83"/>
      <c r="C100" s="102"/>
      <c r="D100" s="102"/>
      <c r="E100" s="102"/>
      <c r="F100" s="103"/>
      <c r="G100" s="102"/>
      <c r="H100" s="101"/>
      <c r="I100" s="102"/>
      <c r="J100" s="103"/>
      <c r="K100" s="83"/>
      <c r="L100" s="83"/>
      <c r="M100" s="83"/>
      <c r="N100" s="102"/>
      <c r="O100" s="132"/>
      <c r="P100" s="132"/>
      <c r="Q100" s="133"/>
      <c r="R100" s="131"/>
      <c r="S100" s="131"/>
      <c r="T100" s="108"/>
      <c r="U100" s="83"/>
      <c r="V100" s="114"/>
      <c r="W100" s="142"/>
      <c r="X100" s="141"/>
      <c r="Y100" s="114"/>
      <c r="Z100" s="114"/>
      <c r="AA100" s="114"/>
      <c r="AB100" s="114"/>
      <c r="AD100" s="114"/>
      <c r="AE100" s="114"/>
      <c r="AF100" s="114"/>
      <c r="AG100" s="113"/>
      <c r="AH100" s="114"/>
      <c r="AI100" s="114"/>
    </row>
    <row r="101" spans="2:35" ht="12.75">
      <c r="B101" s="83"/>
      <c r="C101" s="102"/>
      <c r="D101" s="102"/>
      <c r="E101" s="102"/>
      <c r="F101" s="103"/>
      <c r="G101" s="102"/>
      <c r="H101" s="101"/>
      <c r="I101" s="102"/>
      <c r="J101" s="103"/>
      <c r="K101" s="83"/>
      <c r="L101" s="83"/>
      <c r="M101" s="83"/>
      <c r="N101" s="102"/>
      <c r="O101" s="132"/>
      <c r="P101" s="132"/>
      <c r="Q101" s="133"/>
      <c r="R101" s="131"/>
      <c r="S101" s="131"/>
      <c r="T101" s="108"/>
      <c r="U101" s="83"/>
      <c r="V101" s="114"/>
      <c r="W101" s="114"/>
      <c r="X101" s="141"/>
      <c r="Y101" s="114"/>
      <c r="Z101" s="114"/>
      <c r="AA101" s="114"/>
      <c r="AB101" s="114"/>
      <c r="AD101" s="114"/>
      <c r="AE101" s="114"/>
      <c r="AF101" s="114"/>
      <c r="AG101" s="114"/>
      <c r="AH101" s="114"/>
      <c r="AI101" s="114"/>
    </row>
    <row r="102" spans="2:35" ht="12.75">
      <c r="B102" s="83"/>
      <c r="C102" s="102"/>
      <c r="D102" s="102"/>
      <c r="E102" s="102"/>
      <c r="F102" s="103"/>
      <c r="G102" s="102"/>
      <c r="H102" s="101"/>
      <c r="I102" s="102"/>
      <c r="J102" s="103"/>
      <c r="K102" s="83"/>
      <c r="L102" s="83"/>
      <c r="M102" s="83"/>
      <c r="N102" s="102"/>
      <c r="O102" s="132"/>
      <c r="P102" s="132"/>
      <c r="Q102" s="133"/>
      <c r="R102" s="131"/>
      <c r="S102" s="131"/>
      <c r="T102" s="108"/>
      <c r="U102" s="83"/>
      <c r="V102" s="114"/>
      <c r="W102" s="114"/>
      <c r="X102" s="141"/>
      <c r="Y102" s="114"/>
      <c r="Z102" s="114"/>
      <c r="AA102" s="114"/>
      <c r="AB102" s="114"/>
      <c r="AD102" s="114"/>
      <c r="AE102" s="114"/>
      <c r="AF102" s="114"/>
      <c r="AG102" s="114"/>
      <c r="AH102" s="114"/>
      <c r="AI102" s="114"/>
    </row>
    <row r="103" spans="2:35" ht="12.75">
      <c r="B103" s="83"/>
      <c r="C103" s="102"/>
      <c r="D103" s="102"/>
      <c r="E103" s="102"/>
      <c r="F103" s="103"/>
      <c r="G103" s="102"/>
      <c r="H103" s="101"/>
      <c r="I103" s="102"/>
      <c r="J103" s="103"/>
      <c r="K103" s="83"/>
      <c r="L103" s="83"/>
      <c r="M103" s="83"/>
      <c r="N103" s="102"/>
      <c r="O103" s="132"/>
      <c r="P103" s="132"/>
      <c r="Q103" s="133"/>
      <c r="R103" s="131"/>
      <c r="S103" s="131"/>
      <c r="T103" s="108"/>
      <c r="U103" s="113"/>
      <c r="V103" s="114"/>
      <c r="W103" s="142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3"/>
      <c r="AH103" s="114"/>
      <c r="AI103" s="114"/>
    </row>
    <row r="104" spans="2:35" ht="12.75">
      <c r="B104" s="83"/>
      <c r="C104" s="102"/>
      <c r="D104" s="102"/>
      <c r="E104" s="102"/>
      <c r="F104" s="103"/>
      <c r="G104" s="102"/>
      <c r="H104" s="101"/>
      <c r="I104" s="102"/>
      <c r="J104" s="103"/>
      <c r="K104" s="83"/>
      <c r="L104" s="83"/>
      <c r="M104" s="83"/>
      <c r="N104" s="102"/>
      <c r="O104" s="132"/>
      <c r="P104" s="132"/>
      <c r="Q104" s="133"/>
      <c r="R104" s="131"/>
      <c r="S104" s="131"/>
      <c r="T104" s="108"/>
      <c r="U104" s="103"/>
      <c r="V104" s="102"/>
      <c r="W104" s="102"/>
      <c r="X104" s="102"/>
      <c r="Y104" s="102"/>
      <c r="Z104" s="102"/>
      <c r="AA104" s="102"/>
      <c r="AB104" s="105"/>
      <c r="AC104" s="102"/>
      <c r="AD104" s="103"/>
      <c r="AE104" s="102"/>
      <c r="AF104" s="102"/>
      <c r="AG104" s="102"/>
      <c r="AH104" s="105"/>
      <c r="AI104" s="108"/>
    </row>
    <row r="105" spans="2:35" ht="12.75">
      <c r="B105" s="83"/>
      <c r="C105" s="102"/>
      <c r="D105" s="102"/>
      <c r="E105" s="102"/>
      <c r="F105" s="103"/>
      <c r="G105" s="102"/>
      <c r="H105" s="101"/>
      <c r="I105" s="102"/>
      <c r="J105" s="103"/>
      <c r="K105" s="83"/>
      <c r="L105" s="83"/>
      <c r="M105" s="83"/>
      <c r="N105" s="102"/>
      <c r="O105" s="132"/>
      <c r="P105" s="132"/>
      <c r="S105" s="131"/>
      <c r="T105" s="108"/>
      <c r="U105" s="113"/>
      <c r="V105" s="114"/>
      <c r="W105" s="142"/>
      <c r="X105" s="114"/>
      <c r="Y105" s="114"/>
      <c r="Z105" s="114"/>
      <c r="AA105" s="105"/>
      <c r="AB105" s="114"/>
      <c r="AC105" s="113"/>
      <c r="AD105" s="114"/>
      <c r="AE105" s="114"/>
      <c r="AF105" s="114"/>
      <c r="AG105" s="113"/>
      <c r="AH105" s="105"/>
      <c r="AI105" s="114"/>
    </row>
  </sheetData>
  <sheetProtection sheet="1" objects="1" scenarios="1"/>
  <mergeCells count="279">
    <mergeCell ref="L1:W1"/>
    <mergeCell ref="B47:F47"/>
    <mergeCell ref="G47:I47"/>
    <mergeCell ref="M8:P8"/>
    <mergeCell ref="B8:D8"/>
    <mergeCell ref="K36:L36"/>
    <mergeCell ref="Q40:R40"/>
    <mergeCell ref="M40:N40"/>
    <mergeCell ref="U33:Z33"/>
    <mergeCell ref="U34:Z34"/>
    <mergeCell ref="B48:R48"/>
    <mergeCell ref="S50:AJ50"/>
    <mergeCell ref="S49:AC49"/>
    <mergeCell ref="Z51:AE51"/>
    <mergeCell ref="B50:H50"/>
    <mergeCell ref="G51:H51"/>
    <mergeCell ref="K53:M53"/>
    <mergeCell ref="B53:E53"/>
    <mergeCell ref="F53:G53"/>
    <mergeCell ref="M52:R52"/>
    <mergeCell ref="N53:R53"/>
    <mergeCell ref="I53:J53"/>
    <mergeCell ref="AH32:AJ32"/>
    <mergeCell ref="V52:X52"/>
    <mergeCell ref="S52:U52"/>
    <mergeCell ref="Z52:AD52"/>
    <mergeCell ref="AF52:AG52"/>
    <mergeCell ref="G52:K52"/>
    <mergeCell ref="S48:AJ48"/>
    <mergeCell ref="I50:R50"/>
    <mergeCell ref="G49:R49"/>
    <mergeCell ref="Q51:R51"/>
    <mergeCell ref="AC46:AD46"/>
    <mergeCell ref="AA35:AB35"/>
    <mergeCell ref="B30:R30"/>
    <mergeCell ref="K35:L35"/>
    <mergeCell ref="S30:AJ30"/>
    <mergeCell ref="P31:R31"/>
    <mergeCell ref="M31:O31"/>
    <mergeCell ref="AC31:AD31"/>
    <mergeCell ref="AE31:AG31"/>
    <mergeCell ref="AA31:AB31"/>
    <mergeCell ref="AC40:AD40"/>
    <mergeCell ref="AC41:AD41"/>
    <mergeCell ref="AC42:AD42"/>
    <mergeCell ref="AC43:AD43"/>
    <mergeCell ref="AC44:AD44"/>
    <mergeCell ref="AC45:AD45"/>
    <mergeCell ref="AH43:AJ43"/>
    <mergeCell ref="AH39:AJ39"/>
    <mergeCell ref="AH40:AJ40"/>
    <mergeCell ref="AH41:AJ41"/>
    <mergeCell ref="AC34:AD34"/>
    <mergeCell ref="AC36:AD36"/>
    <mergeCell ref="AC38:AD38"/>
    <mergeCell ref="AE41:AG41"/>
    <mergeCell ref="AC37:AD37"/>
    <mergeCell ref="AC39:AD39"/>
    <mergeCell ref="B43:G43"/>
    <mergeCell ref="B44:G44"/>
    <mergeCell ref="AH44:AJ44"/>
    <mergeCell ref="AH33:AJ33"/>
    <mergeCell ref="AH34:AJ34"/>
    <mergeCell ref="AH35:AJ35"/>
    <mergeCell ref="AH36:AJ36"/>
    <mergeCell ref="AH37:AJ37"/>
    <mergeCell ref="AH38:AJ38"/>
    <mergeCell ref="AH42:AJ42"/>
    <mergeCell ref="S39:T39"/>
    <mergeCell ref="I34:K34"/>
    <mergeCell ref="M34:O34"/>
    <mergeCell ref="P34:R34"/>
    <mergeCell ref="S44:T44"/>
    <mergeCell ref="S41:T41"/>
    <mergeCell ref="S36:T36"/>
    <mergeCell ref="B40:I40"/>
    <mergeCell ref="B41:R41"/>
    <mergeCell ref="O42:R42"/>
    <mergeCell ref="B5:D5"/>
    <mergeCell ref="B6:D6"/>
    <mergeCell ref="K7:L7"/>
    <mergeCell ref="Q6:R6"/>
    <mergeCell ref="S34:T34"/>
    <mergeCell ref="S35:T35"/>
    <mergeCell ref="AE28:AG28"/>
    <mergeCell ref="T28:U28"/>
    <mergeCell ref="AA28:AD28"/>
    <mergeCell ref="X29:Z29"/>
    <mergeCell ref="E8:L8"/>
    <mergeCell ref="F7:J7"/>
    <mergeCell ref="E19:F19"/>
    <mergeCell ref="S29:W29"/>
    <mergeCell ref="M7:T7"/>
    <mergeCell ref="B7:E7"/>
    <mergeCell ref="AD3:AI3"/>
    <mergeCell ref="B31:E31"/>
    <mergeCell ref="F31:L31"/>
    <mergeCell ref="P35:R35"/>
    <mergeCell ref="B34:H34"/>
    <mergeCell ref="E54:AJ54"/>
    <mergeCell ref="AE32:AG32"/>
    <mergeCell ref="Y7:AC7"/>
    <mergeCell ref="S31:T31"/>
    <mergeCell ref="S32:T32"/>
    <mergeCell ref="B59:C59"/>
    <mergeCell ref="B60:C60"/>
    <mergeCell ref="D59:F59"/>
    <mergeCell ref="D60:F60"/>
    <mergeCell ref="B54:D54"/>
    <mergeCell ref="X3:AC3"/>
    <mergeCell ref="U31:Z31"/>
    <mergeCell ref="F29:H29"/>
    <mergeCell ref="Q17:R17"/>
    <mergeCell ref="V28:Z28"/>
    <mergeCell ref="U59:W59"/>
    <mergeCell ref="U60:W60"/>
    <mergeCell ref="G59:L59"/>
    <mergeCell ref="G60:L60"/>
    <mergeCell ref="M59:N59"/>
    <mergeCell ref="M60:N60"/>
    <mergeCell ref="AD59:AE59"/>
    <mergeCell ref="AF59:AG59"/>
    <mergeCell ref="C55:AJ55"/>
    <mergeCell ref="C56:AJ56"/>
    <mergeCell ref="O59:P59"/>
    <mergeCell ref="O60:P60"/>
    <mergeCell ref="Q58:R58"/>
    <mergeCell ref="Q59:R59"/>
    <mergeCell ref="S59:T59"/>
    <mergeCell ref="S60:T60"/>
    <mergeCell ref="U39:Z39"/>
    <mergeCell ref="B33:N33"/>
    <mergeCell ref="Q33:R33"/>
    <mergeCell ref="AG7:AJ7"/>
    <mergeCell ref="AH59:AJ59"/>
    <mergeCell ref="AD60:AE60"/>
    <mergeCell ref="AF60:AG60"/>
    <mergeCell ref="AH60:AJ60"/>
    <mergeCell ref="X59:AC59"/>
    <mergeCell ref="X60:AC60"/>
    <mergeCell ref="K42:N42"/>
    <mergeCell ref="M37:O37"/>
    <mergeCell ref="B38:K38"/>
    <mergeCell ref="B37:L37"/>
    <mergeCell ref="BA3:BB3"/>
    <mergeCell ref="O40:P40"/>
    <mergeCell ref="P37:R37"/>
    <mergeCell ref="M38:O38"/>
    <mergeCell ref="M39:O39"/>
    <mergeCell ref="U38:Z38"/>
    <mergeCell ref="U43:Z43"/>
    <mergeCell ref="U35:Z35"/>
    <mergeCell ref="U36:Z36"/>
    <mergeCell ref="U37:Z37"/>
    <mergeCell ref="B36:G36"/>
    <mergeCell ref="J40:K40"/>
    <mergeCell ref="H42:J42"/>
    <mergeCell ref="P39:R39"/>
    <mergeCell ref="P38:R38"/>
    <mergeCell ref="B42:G42"/>
    <mergeCell ref="AE44:AG44"/>
    <mergeCell ref="AE45:AG45"/>
    <mergeCell ref="AA47:AB47"/>
    <mergeCell ref="B39:I39"/>
    <mergeCell ref="J39:K39"/>
    <mergeCell ref="U44:Z44"/>
    <mergeCell ref="S42:T42"/>
    <mergeCell ref="S43:T43"/>
    <mergeCell ref="U40:Z40"/>
    <mergeCell ref="U41:Z41"/>
    <mergeCell ref="K43:N43"/>
    <mergeCell ref="K44:N44"/>
    <mergeCell ref="K45:N45"/>
    <mergeCell ref="K46:N46"/>
    <mergeCell ref="O46:R46"/>
    <mergeCell ref="J47:K47"/>
    <mergeCell ref="H43:J43"/>
    <mergeCell ref="O43:R43"/>
    <mergeCell ref="O44:R44"/>
    <mergeCell ref="AH45:AJ45"/>
    <mergeCell ref="B45:G45"/>
    <mergeCell ref="AA45:AB45"/>
    <mergeCell ref="AA46:AB46"/>
    <mergeCell ref="H45:J45"/>
    <mergeCell ref="H46:J46"/>
    <mergeCell ref="U45:Z45"/>
    <mergeCell ref="U46:Z46"/>
    <mergeCell ref="S45:T45"/>
    <mergeCell ref="S46:T46"/>
    <mergeCell ref="AD49:AI49"/>
    <mergeCell ref="AI51:AJ51"/>
    <mergeCell ref="AF51:AH51"/>
    <mergeCell ref="K51:N51"/>
    <mergeCell ref="O51:P51"/>
    <mergeCell ref="B46:G46"/>
    <mergeCell ref="L47:R47"/>
    <mergeCell ref="S47:T47"/>
    <mergeCell ref="U47:Z47"/>
    <mergeCell ref="AC47:AD47"/>
    <mergeCell ref="AE42:AG42"/>
    <mergeCell ref="AE43:AG43"/>
    <mergeCell ref="AH31:AJ31"/>
    <mergeCell ref="I28:J28"/>
    <mergeCell ref="O33:P33"/>
    <mergeCell ref="AH28:AJ28"/>
    <mergeCell ref="U42:Z42"/>
    <mergeCell ref="S37:T37"/>
    <mergeCell ref="S38:T38"/>
    <mergeCell ref="S40:T40"/>
    <mergeCell ref="AA42:AB42"/>
    <mergeCell ref="AA43:AB43"/>
    <mergeCell ref="AA44:AB44"/>
    <mergeCell ref="AA32:AB32"/>
    <mergeCell ref="AA33:AB33"/>
    <mergeCell ref="AA37:AB37"/>
    <mergeCell ref="AA38:AB38"/>
    <mergeCell ref="AA39:AB39"/>
    <mergeCell ref="AA41:AB41"/>
    <mergeCell ref="AA40:AB40"/>
    <mergeCell ref="Y6:AC6"/>
    <mergeCell ref="AD6:AJ6"/>
    <mergeCell ref="AC5:AJ5"/>
    <mergeCell ref="AD8:AJ8"/>
    <mergeCell ref="Y5:AB5"/>
    <mergeCell ref="AD7:AF7"/>
    <mergeCell ref="X8:AC8"/>
    <mergeCell ref="E5:X5"/>
    <mergeCell ref="E6:P6"/>
    <mergeCell ref="S6:X6"/>
    <mergeCell ref="AA34:AB34"/>
    <mergeCell ref="AA36:AB36"/>
    <mergeCell ref="U7:X7"/>
    <mergeCell ref="AC32:AD32"/>
    <mergeCell ref="AC33:AD33"/>
    <mergeCell ref="AC35:AD35"/>
    <mergeCell ref="AB29:AJ29"/>
    <mergeCell ref="U32:Z32"/>
    <mergeCell ref="Q8:W8"/>
    <mergeCell ref="S33:T33"/>
    <mergeCell ref="B32:J32"/>
    <mergeCell ref="K32:O32"/>
    <mergeCell ref="J29:R29"/>
    <mergeCell ref="K28:M28"/>
    <mergeCell ref="Q32:R32"/>
    <mergeCell ref="B29:E29"/>
    <mergeCell ref="B28:E28"/>
    <mergeCell ref="G28:H28"/>
    <mergeCell ref="N28:Q28"/>
    <mergeCell ref="R28:S28"/>
    <mergeCell ref="Q60:R60"/>
    <mergeCell ref="B57:AJ57"/>
    <mergeCell ref="AE33:AG33"/>
    <mergeCell ref="AE34:AG34"/>
    <mergeCell ref="AE35:AG35"/>
    <mergeCell ref="AE36:AG36"/>
    <mergeCell ref="AE37:AG37"/>
    <mergeCell ref="AE38:AG38"/>
    <mergeCell ref="AE39:AG39"/>
    <mergeCell ref="AE40:AG40"/>
    <mergeCell ref="B35:G35"/>
    <mergeCell ref="AE46:AG46"/>
    <mergeCell ref="AE47:AG47"/>
    <mergeCell ref="AH46:AJ46"/>
    <mergeCell ref="AH47:AJ47"/>
    <mergeCell ref="H44:J44"/>
    <mergeCell ref="O45:R45"/>
    <mergeCell ref="M35:O35"/>
    <mergeCell ref="M36:O36"/>
    <mergeCell ref="P36:R36"/>
    <mergeCell ref="AH58:AJ58"/>
    <mergeCell ref="B51:F51"/>
    <mergeCell ref="B52:F52"/>
    <mergeCell ref="B49:F49"/>
    <mergeCell ref="AF53:AI53"/>
    <mergeCell ref="S53:W53"/>
    <mergeCell ref="X53:Z53"/>
    <mergeCell ref="AB53:AE53"/>
    <mergeCell ref="S51:V51"/>
    <mergeCell ref="W51:Y51"/>
  </mergeCells>
  <dataValidations count="13">
    <dataValidation type="list" allowBlank="1" showInputMessage="1" showErrorMessage="1" sqref="J40:K40 G51:H51 F53:G53 G47:I47 AF52:AG52">
      <formula1>$BA$5:$BA$6</formula1>
    </dataValidation>
    <dataValidation type="list" allowBlank="1" showInputMessage="1" showErrorMessage="1" sqref="F29:H29">
      <formula1>$AX$5:$AX$7</formula1>
    </dataValidation>
    <dataValidation type="list" allowBlank="1" showInputMessage="1" showErrorMessage="1" sqref="X29:Z29">
      <formula1>$AL$28:$AL$30</formula1>
    </dataValidation>
    <dataValidation type="list" allowBlank="1" showInputMessage="1" showErrorMessage="1" sqref="AE28:AG28">
      <formula1>$AO$28:$AO$29</formula1>
    </dataValidation>
    <dataValidation type="list" allowBlank="1" showInputMessage="1" showErrorMessage="1" sqref="G52:K52">
      <formula1>$AM$51:$AM$54</formula1>
    </dataValidation>
    <dataValidation type="list" allowBlank="1" showInputMessage="1" showErrorMessage="1" sqref="Q40:R40 K35:L35">
      <formula1>$AL$35:$AL$36</formula1>
    </dataValidation>
    <dataValidation type="list" allowBlank="1" showInputMessage="1" showErrorMessage="1" sqref="AD49:AI49">
      <formula1>$AM$45:$AM$50</formula1>
    </dataValidation>
    <dataValidation type="list" allowBlank="1" showInputMessage="1" showErrorMessage="1" sqref="AE32:AG47">
      <formula1>$AP$31:$AP$32</formula1>
    </dataValidation>
    <dataValidation type="list" allowBlank="1" showInputMessage="1" showErrorMessage="1" sqref="AH32:AJ47">
      <formula1>$AS$31:$AS$34</formula1>
    </dataValidation>
    <dataValidation type="list" allowBlank="1" showInputMessage="1" showErrorMessage="1" sqref="K32:O32">
      <formula1>$AL$32:$AL$34</formula1>
    </dataValidation>
    <dataValidation type="list" allowBlank="1" showInputMessage="1" showErrorMessage="1" sqref="H43:J44">
      <formula1>$AX$45:$AX$66</formula1>
    </dataValidation>
    <dataValidation type="list" allowBlank="1" showInputMessage="1" showErrorMessage="1" sqref="K43:N44">
      <formula1>$BH$45:$BH$48</formula1>
    </dataValidation>
    <dataValidation type="list" allowBlank="1" showInputMessage="1" showErrorMessage="1" sqref="K36:L36">
      <formula1>$AL$35:$AL$37</formula1>
    </dataValidation>
  </dataValidations>
  <printOptions/>
  <pageMargins left="0.65" right="0.25" top="0" bottom="0" header="0" footer="0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H14" sqref="H14"/>
    </sheetView>
  </sheetViews>
  <sheetFormatPr defaultColWidth="9.140625" defaultRowHeight="12.75"/>
  <cols>
    <col min="5" max="5" width="9.00390625" style="0" customWidth="1"/>
    <col min="6" max="6" width="10.140625" style="0" bestFit="1" customWidth="1"/>
    <col min="7" max="7" width="17.28125" style="0" bestFit="1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392" t="s">
        <v>6</v>
      </c>
      <c r="C3" s="392"/>
      <c r="D3" s="392"/>
      <c r="E3" s="392"/>
      <c r="F3" s="45">
        <f>'Specification Sheet'!Q17</f>
        <v>50</v>
      </c>
      <c r="G3" s="1"/>
      <c r="H3" s="1"/>
      <c r="I3" s="1"/>
    </row>
    <row r="4" spans="1:9" ht="15.75">
      <c r="A4" s="1"/>
      <c r="B4" s="392" t="s">
        <v>7</v>
      </c>
      <c r="C4" s="392"/>
      <c r="D4" s="392"/>
      <c r="E4" s="392"/>
      <c r="F4" s="143">
        <f>'Specification Sheet'!E19</f>
        <v>32</v>
      </c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8" ht="12.75">
      <c r="A6" s="393" t="s">
        <v>2</v>
      </c>
      <c r="B6" s="393"/>
      <c r="C6" s="394" t="s">
        <v>370</v>
      </c>
      <c r="D6" s="395"/>
      <c r="E6" s="395"/>
      <c r="F6" s="395"/>
      <c r="G6" s="395"/>
      <c r="H6" s="395"/>
    </row>
    <row r="8" spans="2:8" ht="15.75">
      <c r="B8" s="392" t="s">
        <v>3</v>
      </c>
      <c r="C8" s="392"/>
      <c r="D8" s="392"/>
      <c r="E8" s="392"/>
      <c r="F8" s="145">
        <f>2.6*(F3)*(F4-1)*(F12)/(F13)</f>
        <v>0.17370689655172414</v>
      </c>
      <c r="G8" s="150" t="s">
        <v>371</v>
      </c>
      <c r="H8" s="5"/>
    </row>
    <row r="9" spans="1:7" ht="15.75">
      <c r="A9" s="396" t="s">
        <v>263</v>
      </c>
      <c r="B9" s="396"/>
      <c r="C9" s="396"/>
      <c r="D9" s="396"/>
      <c r="E9" s="396"/>
      <c r="F9" s="396"/>
      <c r="G9" s="396"/>
    </row>
    <row r="10" spans="5:9" ht="15.75">
      <c r="E10" s="9" t="s">
        <v>262</v>
      </c>
      <c r="F10" s="146">
        <f>2.6*(F3)*(F4-1)/(F15)+F16</f>
        <v>0.22434738955823294</v>
      </c>
      <c r="G10" s="397" t="s">
        <v>372</v>
      </c>
      <c r="H10" s="397"/>
      <c r="I10" s="397"/>
    </row>
    <row r="12" spans="2:6" ht="12.75">
      <c r="B12" s="392" t="s">
        <v>8</v>
      </c>
      <c r="C12" s="392"/>
      <c r="D12" s="392"/>
      <c r="E12" s="392"/>
      <c r="F12" s="14">
        <v>1</v>
      </c>
    </row>
    <row r="13" spans="2:6" ht="12.75">
      <c r="B13" s="392" t="s">
        <v>9</v>
      </c>
      <c r="C13" s="392"/>
      <c r="D13" s="392"/>
      <c r="E13" s="392"/>
      <c r="F13" s="41">
        <v>23200</v>
      </c>
    </row>
    <row r="14" spans="2:6" ht="12.75">
      <c r="B14" s="392" t="s">
        <v>10</v>
      </c>
      <c r="C14" s="392"/>
      <c r="D14" s="392"/>
      <c r="E14" s="392"/>
      <c r="F14" s="42">
        <v>0.0085</v>
      </c>
    </row>
    <row r="15" spans="2:6" ht="15.75">
      <c r="B15" s="392" t="s">
        <v>12</v>
      </c>
      <c r="C15" s="392"/>
      <c r="D15" s="392"/>
      <c r="E15" s="392"/>
      <c r="F15" s="21">
        <v>24900</v>
      </c>
    </row>
    <row r="16" spans="2:6" ht="12.75">
      <c r="B16" s="392" t="s">
        <v>11</v>
      </c>
      <c r="C16" s="392"/>
      <c r="D16" s="392"/>
      <c r="E16" s="392"/>
      <c r="F16" s="4">
        <v>0.0625</v>
      </c>
    </row>
    <row r="18" spans="2:7" ht="12.75">
      <c r="B18" s="12" t="s">
        <v>13</v>
      </c>
      <c r="C18" s="12"/>
      <c r="D18" s="12"/>
      <c r="E18" s="3"/>
      <c r="F18" s="146">
        <f>F8+F16</f>
        <v>0.23620689655172414</v>
      </c>
      <c r="G18" s="25"/>
    </row>
    <row r="20" spans="2:7" ht="15.75">
      <c r="B20" s="392" t="s">
        <v>264</v>
      </c>
      <c r="C20" s="392"/>
      <c r="D20" s="392"/>
      <c r="E20" s="392"/>
      <c r="F20" s="147">
        <f>2.6*(F24)*(F25-1)*(F26)/(F27)</f>
        <v>0.1892018779342723</v>
      </c>
      <c r="G20" s="5"/>
    </row>
    <row r="21" spans="2:5" ht="15.75">
      <c r="B21" s="392" t="s">
        <v>265</v>
      </c>
      <c r="C21" s="392"/>
      <c r="D21" s="392"/>
      <c r="E21" s="392"/>
    </row>
    <row r="22" spans="2:6" ht="15.75">
      <c r="B22" s="392" t="s">
        <v>266</v>
      </c>
      <c r="C22" s="392"/>
      <c r="D22" s="392"/>
      <c r="E22" s="392"/>
      <c r="F22" s="146">
        <f>2.6*(F24)*(F25-1)/(F29)+F30</f>
        <v>0.23041666666666666</v>
      </c>
    </row>
    <row r="23" ht="12.75">
      <c r="F23" s="8"/>
    </row>
    <row r="24" spans="2:6" ht="12.75">
      <c r="B24" s="392" t="s">
        <v>267</v>
      </c>
      <c r="C24" s="392"/>
      <c r="D24" s="392"/>
      <c r="E24" s="392"/>
      <c r="F24" s="148">
        <f>F3</f>
        <v>50</v>
      </c>
    </row>
    <row r="25" spans="2:6" ht="12.75">
      <c r="B25" s="392" t="s">
        <v>268</v>
      </c>
      <c r="C25" s="392"/>
      <c r="D25" s="392"/>
      <c r="E25" s="392"/>
      <c r="F25" s="149">
        <f>F4</f>
        <v>32</v>
      </c>
    </row>
    <row r="26" spans="2:6" ht="12.75">
      <c r="B26" s="392" t="s">
        <v>269</v>
      </c>
      <c r="C26" s="392"/>
      <c r="D26" s="392"/>
      <c r="E26" s="392"/>
      <c r="F26">
        <v>1</v>
      </c>
    </row>
    <row r="27" spans="2:6" ht="12.75">
      <c r="B27" s="3" t="s">
        <v>9</v>
      </c>
      <c r="C27" s="3"/>
      <c r="D27" s="3"/>
      <c r="E27" s="3"/>
      <c r="F27" s="13">
        <v>21300</v>
      </c>
    </row>
    <row r="28" spans="2:6" ht="12.75">
      <c r="B28" s="3" t="s">
        <v>10</v>
      </c>
      <c r="C28" s="3"/>
      <c r="D28" s="3"/>
      <c r="E28" s="3"/>
      <c r="F28" s="10">
        <v>0.0085</v>
      </c>
    </row>
    <row r="29" spans="2:6" ht="15.75">
      <c r="B29" s="3" t="s">
        <v>14</v>
      </c>
      <c r="C29" s="3"/>
      <c r="D29" s="3"/>
      <c r="E29" s="3"/>
      <c r="F29" s="11">
        <v>24000</v>
      </c>
    </row>
    <row r="30" spans="2:7" ht="12.75">
      <c r="B30" t="s">
        <v>11</v>
      </c>
      <c r="F30" s="16">
        <v>0.0625</v>
      </c>
      <c r="G30" s="7"/>
    </row>
    <row r="32" spans="2:6" ht="12.75">
      <c r="B32" s="12" t="s">
        <v>15</v>
      </c>
      <c r="C32" s="12"/>
      <c r="D32" s="12"/>
      <c r="E32" s="14"/>
      <c r="F32" s="4">
        <v>0.5</v>
      </c>
    </row>
    <row r="34" spans="2:6" ht="15.75">
      <c r="B34" s="3" t="s">
        <v>3</v>
      </c>
      <c r="C34" s="3"/>
      <c r="F34" s="5">
        <f>2.6*(F38)*(F39-1)*(F40)/(F41)</f>
        <v>0.1647887323943662</v>
      </c>
    </row>
    <row r="35" spans="2:3" ht="15.75">
      <c r="B35" s="3" t="s">
        <v>4</v>
      </c>
      <c r="C35" s="3"/>
    </row>
    <row r="36" spans="2:6" ht="15.75">
      <c r="B36" t="s">
        <v>5</v>
      </c>
      <c r="F36" s="146">
        <f>2.6*(F38)*(F39-1)/(F43)+F44</f>
        <v>0.20875</v>
      </c>
    </row>
    <row r="37" ht="12.75">
      <c r="F37" s="8"/>
    </row>
    <row r="38" spans="2:6" ht="12.75">
      <c r="B38" s="3" t="s">
        <v>6</v>
      </c>
      <c r="C38" s="3"/>
      <c r="D38" s="3"/>
      <c r="E38" s="3"/>
      <c r="F38" s="148">
        <f>F3</f>
        <v>50</v>
      </c>
    </row>
    <row r="39" spans="2:6" ht="12.75">
      <c r="B39" s="3" t="s">
        <v>7</v>
      </c>
      <c r="C39" s="3"/>
      <c r="D39" s="3"/>
      <c r="E39" s="3"/>
      <c r="F39" s="9">
        <v>28</v>
      </c>
    </row>
    <row r="40" spans="2:6" ht="12.75">
      <c r="B40" s="3" t="s">
        <v>8</v>
      </c>
      <c r="C40" s="3"/>
      <c r="D40" s="3"/>
      <c r="E40" s="3"/>
      <c r="F40">
        <v>1</v>
      </c>
    </row>
    <row r="41" spans="2:6" ht="12.75">
      <c r="B41" s="3" t="s">
        <v>9</v>
      </c>
      <c r="C41" s="3"/>
      <c r="D41" s="3"/>
      <c r="E41" s="3"/>
      <c r="F41" s="13">
        <v>21300</v>
      </c>
    </row>
    <row r="42" spans="2:6" ht="12.75">
      <c r="B42" s="3" t="s">
        <v>10</v>
      </c>
      <c r="C42" s="3"/>
      <c r="D42" s="3"/>
      <c r="E42" s="3"/>
      <c r="F42" s="10">
        <v>0.0085</v>
      </c>
    </row>
    <row r="43" spans="2:6" ht="15.75">
      <c r="B43" s="3" t="s">
        <v>16</v>
      </c>
      <c r="C43" s="3"/>
      <c r="D43" s="3"/>
      <c r="E43" s="3"/>
      <c r="F43" s="11">
        <v>24000</v>
      </c>
    </row>
    <row r="44" spans="2:6" ht="12.75">
      <c r="B44" t="s">
        <v>11</v>
      </c>
      <c r="F44" s="16">
        <v>0.0625</v>
      </c>
    </row>
    <row r="46" spans="2:7" ht="12.75">
      <c r="B46" s="12" t="s">
        <v>17</v>
      </c>
      <c r="C46" s="12"/>
      <c r="D46" s="12"/>
      <c r="E46" s="14"/>
      <c r="F46" s="4">
        <v>0.375</v>
      </c>
      <c r="G46" s="43"/>
    </row>
    <row r="47" spans="2:6" ht="12.75">
      <c r="B47" s="12"/>
      <c r="C47" s="12"/>
      <c r="D47" s="12"/>
      <c r="E47" s="14"/>
      <c r="F47" s="4"/>
    </row>
    <row r="48" spans="2:6" ht="12.75">
      <c r="B48" s="12"/>
      <c r="C48" s="12"/>
      <c r="D48" s="12"/>
      <c r="E48" s="14"/>
      <c r="F48" s="4"/>
    </row>
    <row r="49" spans="2:6" ht="12.75">
      <c r="B49" s="12"/>
      <c r="C49" s="12"/>
      <c r="D49" s="12"/>
      <c r="E49" s="14"/>
      <c r="F49" s="4"/>
    </row>
    <row r="50" spans="2:6" ht="12.75">
      <c r="B50" s="12"/>
      <c r="C50" s="12"/>
      <c r="D50" s="12"/>
      <c r="E50" s="14"/>
      <c r="F50" s="4"/>
    </row>
    <row r="51" spans="2:6" ht="12.75">
      <c r="B51" s="12"/>
      <c r="C51" s="12"/>
      <c r="D51" s="12"/>
      <c r="E51" s="14"/>
      <c r="F51" s="4"/>
    </row>
    <row r="52" spans="1:9" ht="15.75">
      <c r="A52" s="1" t="s">
        <v>0</v>
      </c>
      <c r="B52" s="1"/>
      <c r="C52" s="1"/>
      <c r="D52" s="1"/>
      <c r="E52" s="1"/>
      <c r="F52" s="1"/>
      <c r="G52" s="1"/>
      <c r="H52" s="1"/>
      <c r="I52" s="1"/>
    </row>
    <row r="53" ht="12.75">
      <c r="A53" s="14" t="s">
        <v>2</v>
      </c>
    </row>
    <row r="54" spans="2:6" ht="12.75">
      <c r="B54" s="12"/>
      <c r="C54" s="12"/>
      <c r="D54" s="12"/>
      <c r="E54" s="14"/>
      <c r="F54" s="4"/>
    </row>
    <row r="55" spans="3:6" ht="15.75">
      <c r="C55" s="392" t="s">
        <v>3</v>
      </c>
      <c r="D55" s="392"/>
      <c r="E55" s="392"/>
      <c r="F55" s="5">
        <f>2.6*(F59)*(F60-1)*(F61)/(F62)</f>
        <v>0.1960985915492958</v>
      </c>
    </row>
    <row r="56" spans="3:5" ht="15.75">
      <c r="C56" s="398" t="s">
        <v>375</v>
      </c>
      <c r="D56" s="392"/>
      <c r="E56" s="392"/>
    </row>
    <row r="57" spans="2:7" ht="15.75">
      <c r="B57" s="398" t="s">
        <v>374</v>
      </c>
      <c r="C57" s="398"/>
      <c r="D57" s="398"/>
      <c r="E57" s="398"/>
      <c r="F57" s="15">
        <f>2.6*(F59)*(F60-1)/(F64)+F65</f>
        <v>0.2365375</v>
      </c>
      <c r="G57" t="s">
        <v>373</v>
      </c>
    </row>
    <row r="58" ht="12.75">
      <c r="F58" s="8"/>
    </row>
    <row r="59" spans="2:6" ht="12.75">
      <c r="B59" s="3" t="s">
        <v>6</v>
      </c>
      <c r="C59" s="3"/>
      <c r="D59" s="3"/>
      <c r="E59" s="3"/>
      <c r="F59" s="9">
        <v>94.5</v>
      </c>
    </row>
    <row r="60" spans="2:6" ht="12.75">
      <c r="B60" s="3" t="s">
        <v>7</v>
      </c>
      <c r="C60" s="3"/>
      <c r="D60" s="3"/>
      <c r="E60" s="3"/>
      <c r="F60" s="9">
        <v>18</v>
      </c>
    </row>
    <row r="61" spans="2:6" ht="12.75">
      <c r="B61" s="3" t="s">
        <v>8</v>
      </c>
      <c r="C61" s="3"/>
      <c r="D61" s="3"/>
      <c r="E61" s="3"/>
      <c r="F61">
        <v>1</v>
      </c>
    </row>
    <row r="62" spans="2:6" ht="12.75">
      <c r="B62" s="3" t="s">
        <v>9</v>
      </c>
      <c r="C62" s="3"/>
      <c r="D62" s="3"/>
      <c r="E62" s="3"/>
      <c r="F62" s="13">
        <v>21300</v>
      </c>
    </row>
    <row r="63" spans="2:6" ht="12.75">
      <c r="B63" s="3" t="s">
        <v>10</v>
      </c>
      <c r="C63" s="3"/>
      <c r="D63" s="3"/>
      <c r="E63" s="3"/>
      <c r="F63" s="10">
        <v>0.0085</v>
      </c>
    </row>
    <row r="64" spans="2:6" ht="15.75">
      <c r="B64" s="3" t="s">
        <v>12</v>
      </c>
      <c r="C64" s="3"/>
      <c r="D64" s="3"/>
      <c r="E64" s="3"/>
      <c r="F64" s="11">
        <v>24000</v>
      </c>
    </row>
    <row r="65" spans="2:6" ht="12.75">
      <c r="B65" t="s">
        <v>11</v>
      </c>
      <c r="F65" s="16">
        <v>0.0625</v>
      </c>
    </row>
    <row r="67" spans="2:6" ht="12.75">
      <c r="B67" s="12" t="s">
        <v>18</v>
      </c>
      <c r="C67" s="12"/>
      <c r="D67" s="12"/>
      <c r="E67" s="14"/>
      <c r="F67" s="4">
        <v>0.25</v>
      </c>
    </row>
    <row r="68" spans="2:6" ht="12.75">
      <c r="B68" s="3"/>
      <c r="C68" s="3"/>
      <c r="D68" s="3"/>
      <c r="E68" s="3"/>
      <c r="F68" s="9"/>
    </row>
    <row r="69" spans="2:6" ht="15.75">
      <c r="B69" s="3" t="s">
        <v>3</v>
      </c>
      <c r="C69" s="3"/>
      <c r="F69" s="5">
        <f>2.6*(F73)*(F74-1)*(F75)/(F76)</f>
        <v>0.08074647887323944</v>
      </c>
    </row>
    <row r="70" spans="2:3" ht="15.75">
      <c r="B70" s="3" t="s">
        <v>4</v>
      </c>
      <c r="C70" s="3"/>
    </row>
    <row r="71" spans="2:6" ht="15.75">
      <c r="B71" t="s">
        <v>5</v>
      </c>
      <c r="F71" s="15">
        <f>2.6*(F73)*(F74-1)/(F78)+F79</f>
        <v>0.13416250000000002</v>
      </c>
    </row>
    <row r="72" ht="12.75">
      <c r="F72" s="8"/>
    </row>
    <row r="73" spans="2:6" ht="12.75">
      <c r="B73" s="3" t="s">
        <v>6</v>
      </c>
      <c r="C73" s="3"/>
      <c r="D73" s="3"/>
      <c r="E73" s="3"/>
      <c r="F73" s="9">
        <v>94.5</v>
      </c>
    </row>
    <row r="74" spans="2:6" ht="12.75">
      <c r="B74" s="3" t="s">
        <v>7</v>
      </c>
      <c r="C74" s="3"/>
      <c r="D74" s="3"/>
      <c r="E74" s="3"/>
      <c r="F74" s="9">
        <v>8</v>
      </c>
    </row>
    <row r="75" spans="2:6" ht="12.75">
      <c r="B75" s="3" t="s">
        <v>8</v>
      </c>
      <c r="C75" s="3"/>
      <c r="D75" s="3"/>
      <c r="E75" s="3"/>
      <c r="F75">
        <v>1</v>
      </c>
    </row>
    <row r="76" spans="2:6" ht="12.75">
      <c r="B76" s="3" t="s">
        <v>9</v>
      </c>
      <c r="C76" s="3"/>
      <c r="D76" s="3"/>
      <c r="E76" s="3"/>
      <c r="F76" s="13">
        <v>21300</v>
      </c>
    </row>
    <row r="77" spans="2:6" ht="12.75">
      <c r="B77" s="3" t="s">
        <v>10</v>
      </c>
      <c r="C77" s="3"/>
      <c r="D77" s="3"/>
      <c r="E77" s="3"/>
      <c r="F77" s="10">
        <v>0.0085</v>
      </c>
    </row>
    <row r="78" spans="2:6" ht="15.75">
      <c r="B78" s="3" t="s">
        <v>12</v>
      </c>
      <c r="C78" s="3"/>
      <c r="D78" s="3"/>
      <c r="E78" s="3"/>
      <c r="F78" s="11">
        <v>24000</v>
      </c>
    </row>
    <row r="79" spans="2:6" ht="12.75">
      <c r="B79" t="s">
        <v>11</v>
      </c>
      <c r="F79" s="16">
        <v>0.0625</v>
      </c>
    </row>
    <row r="81" spans="2:6" ht="12.75">
      <c r="B81" s="12" t="s">
        <v>19</v>
      </c>
      <c r="C81" s="12"/>
      <c r="D81" s="12"/>
      <c r="E81" s="14"/>
      <c r="F81" s="4">
        <v>0.25</v>
      </c>
    </row>
    <row r="83" spans="1:9" ht="15.75">
      <c r="A83" s="17" t="s">
        <v>1</v>
      </c>
      <c r="B83" s="3"/>
      <c r="C83" s="3"/>
      <c r="D83" s="2"/>
      <c r="E83" s="2"/>
      <c r="F83" s="4">
        <v>0.375</v>
      </c>
      <c r="G83" s="2"/>
      <c r="H83" s="2"/>
      <c r="I83" s="2"/>
    </row>
    <row r="85" spans="2:5" ht="12.75">
      <c r="B85" t="s">
        <v>152</v>
      </c>
      <c r="E85" s="27">
        <f>F3</f>
        <v>50</v>
      </c>
    </row>
    <row r="86" spans="2:5" ht="12.75">
      <c r="B86" t="s">
        <v>153</v>
      </c>
      <c r="E86" s="44">
        <f>F4</f>
        <v>32</v>
      </c>
    </row>
    <row r="87" ht="12.75">
      <c r="B87" t="s">
        <v>154</v>
      </c>
    </row>
    <row r="89" spans="3:7" ht="14.25">
      <c r="C89" s="392" t="s">
        <v>379</v>
      </c>
      <c r="D89" s="392"/>
      <c r="E89" s="152" t="s">
        <v>159</v>
      </c>
      <c r="F89" s="21">
        <f>PI()*E85*E86</f>
        <v>5026.548245743669</v>
      </c>
      <c r="G89" s="144" t="s">
        <v>376</v>
      </c>
    </row>
    <row r="91" spans="3:7" ht="14.25">
      <c r="C91" s="392" t="s">
        <v>380</v>
      </c>
      <c r="D91" s="392"/>
      <c r="E91" s="152" t="s">
        <v>160</v>
      </c>
      <c r="F91" s="21">
        <f>(PI())*E85^2/(4)</f>
        <v>1963.4954084936207</v>
      </c>
      <c r="G91" s="144" t="s">
        <v>377</v>
      </c>
    </row>
    <row r="92" spans="4:6" ht="12.75">
      <c r="D92" s="28"/>
      <c r="E92" s="28"/>
      <c r="F92" s="11"/>
    </row>
    <row r="93" spans="3:7" ht="14.25">
      <c r="C93" s="392" t="s">
        <v>381</v>
      </c>
      <c r="D93" s="392"/>
      <c r="E93" s="152" t="s">
        <v>160</v>
      </c>
      <c r="F93" s="21">
        <f>PI()*E85^2/4</f>
        <v>1963.4954084936207</v>
      </c>
      <c r="G93" s="144" t="s">
        <v>378</v>
      </c>
    </row>
  </sheetData>
  <sheetProtection sheet="1" objects="1" scenarios="1"/>
  <mergeCells count="24">
    <mergeCell ref="C91:D91"/>
    <mergeCell ref="C93:D93"/>
    <mergeCell ref="B57:E57"/>
    <mergeCell ref="C55:E55"/>
    <mergeCell ref="C56:E56"/>
    <mergeCell ref="C89:D89"/>
    <mergeCell ref="B25:E25"/>
    <mergeCell ref="B26:E26"/>
    <mergeCell ref="B16:E16"/>
    <mergeCell ref="B20:E20"/>
    <mergeCell ref="B21:E21"/>
    <mergeCell ref="B22:E22"/>
    <mergeCell ref="B14:E14"/>
    <mergeCell ref="B8:E8"/>
    <mergeCell ref="A9:G9"/>
    <mergeCell ref="G10:I10"/>
    <mergeCell ref="B15:E15"/>
    <mergeCell ref="B24:E24"/>
    <mergeCell ref="B3:E3"/>
    <mergeCell ref="B4:E4"/>
    <mergeCell ref="B12:E12"/>
    <mergeCell ref="B13:E13"/>
    <mergeCell ref="A6:B6"/>
    <mergeCell ref="C6:H6"/>
  </mergeCells>
  <printOptions horizontalCentered="1" verticalCentered="1"/>
  <pageMargins left="0.5" right="0.5" top="0.48" bottom="0.95" header="0.17" footer="0.55"/>
  <pageSetup horizontalDpi="300" verticalDpi="300" orientation="portrait" r:id="rId1"/>
  <headerFooter alignWithMargins="0">
    <oddHeader>&amp;LArt Montemayor &amp;CAPI 650 Storage Tank&amp;RMarch 12, 2002
Rev: 0</oddHeader>
    <oddFooter>&amp;CPage &amp;P of &amp;N&amp;RFileName: &amp;F
WorkSheet: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E8" sqref="E8"/>
    </sheetView>
  </sheetViews>
  <sheetFormatPr defaultColWidth="9.140625" defaultRowHeight="12.75"/>
  <cols>
    <col min="4" max="4" width="11.57421875" style="0" customWidth="1"/>
    <col min="5" max="5" width="14.140625" style="0" customWidth="1"/>
    <col min="6" max="6" width="12.8515625" style="0" customWidth="1"/>
    <col min="7" max="7" width="14.140625" style="0" bestFit="1" customWidth="1"/>
  </cols>
  <sheetData>
    <row r="1" spans="1:3" ht="12.75">
      <c r="A1" s="393" t="s">
        <v>115</v>
      </c>
      <c r="B1" s="393"/>
      <c r="C1" s="393"/>
    </row>
    <row r="3" spans="2:4" ht="12.75">
      <c r="B3" s="395" t="s">
        <v>116</v>
      </c>
      <c r="C3" s="395"/>
      <c r="D3" s="395"/>
    </row>
    <row r="5" spans="2:9" ht="12.75">
      <c r="B5" s="396" t="s">
        <v>270</v>
      </c>
      <c r="C5" s="396"/>
      <c r="D5" s="396"/>
      <c r="E5" s="396"/>
      <c r="F5" s="396"/>
      <c r="G5" s="396"/>
      <c r="H5" s="396"/>
      <c r="I5" s="396"/>
    </row>
    <row r="6" spans="2:9" ht="12.75">
      <c r="B6" s="399" t="s">
        <v>117</v>
      </c>
      <c r="C6" s="399"/>
      <c r="D6" s="399"/>
      <c r="E6" s="399"/>
      <c r="F6" s="399"/>
      <c r="G6" s="399"/>
      <c r="H6" s="399"/>
      <c r="I6" s="399"/>
    </row>
    <row r="8" spans="2:3" ht="12.75">
      <c r="B8" s="400" t="s">
        <v>118</v>
      </c>
      <c r="C8" s="400"/>
    </row>
    <row r="10" spans="2:7" ht="12.75">
      <c r="B10" t="s">
        <v>119</v>
      </c>
      <c r="G10" s="14">
        <v>3</v>
      </c>
    </row>
    <row r="11" spans="2:7" ht="12.75">
      <c r="B11" t="s">
        <v>120</v>
      </c>
      <c r="F11" s="9" t="s">
        <v>121</v>
      </c>
      <c r="G11" s="14">
        <v>0.3</v>
      </c>
    </row>
    <row r="12" spans="2:7" ht="12.75">
      <c r="B12" t="s">
        <v>122</v>
      </c>
      <c r="F12" s="9" t="s">
        <v>125</v>
      </c>
      <c r="G12" s="20">
        <v>1</v>
      </c>
    </row>
    <row r="13" spans="2:7" ht="12.75">
      <c r="B13" t="s">
        <v>123</v>
      </c>
      <c r="F13" s="151" t="s">
        <v>124</v>
      </c>
      <c r="G13" s="14">
        <v>94.5</v>
      </c>
    </row>
    <row r="14" spans="2:7" ht="12.75">
      <c r="B14" t="s">
        <v>126</v>
      </c>
      <c r="F14" s="9" t="s">
        <v>127</v>
      </c>
      <c r="G14" s="14">
        <v>44.5</v>
      </c>
    </row>
    <row r="15" spans="2:7" ht="12.75">
      <c r="B15" t="s">
        <v>128</v>
      </c>
      <c r="F15" s="9" t="s">
        <v>129</v>
      </c>
      <c r="G15" s="14">
        <v>48</v>
      </c>
    </row>
    <row r="16" spans="2:7" ht="12.75">
      <c r="B16" t="s">
        <v>130</v>
      </c>
      <c r="F16" s="9" t="s">
        <v>131</v>
      </c>
      <c r="G16" s="14">
        <v>0.79</v>
      </c>
    </row>
    <row r="17" spans="2:7" ht="15.75">
      <c r="B17" t="s">
        <v>133</v>
      </c>
      <c r="F17" s="9" t="s">
        <v>132</v>
      </c>
      <c r="G17" s="4">
        <v>0.375</v>
      </c>
    </row>
    <row r="18" spans="2:8" ht="15.75">
      <c r="B18" t="s">
        <v>134</v>
      </c>
      <c r="F18" s="9" t="s">
        <v>135</v>
      </c>
      <c r="G18" s="21">
        <v>36000</v>
      </c>
      <c r="H18" s="14" t="s">
        <v>136</v>
      </c>
    </row>
    <row r="19" spans="2:8" ht="12.75">
      <c r="B19" t="s">
        <v>187</v>
      </c>
      <c r="F19" s="9" t="s">
        <v>137</v>
      </c>
      <c r="G19" s="14">
        <v>221</v>
      </c>
      <c r="H19" s="14" t="s">
        <v>139</v>
      </c>
    </row>
    <row r="20" spans="2:8" ht="12.75">
      <c r="B20" t="s">
        <v>195</v>
      </c>
      <c r="F20" s="9" t="s">
        <v>138</v>
      </c>
      <c r="G20" s="14">
        <f>107.4+210.4</f>
        <v>317.8</v>
      </c>
      <c r="H20" s="14" t="s">
        <v>139</v>
      </c>
    </row>
    <row r="21" spans="2:8" ht="14.25">
      <c r="B21" t="s">
        <v>161</v>
      </c>
      <c r="D21" t="s">
        <v>163</v>
      </c>
      <c r="F21" s="9" t="s">
        <v>162</v>
      </c>
      <c r="G21" s="21">
        <f>PI()/4*G13^2*G14*G16*62.4/1000</f>
        <v>15385.98094836489</v>
      </c>
      <c r="H21" s="14" t="s">
        <v>139</v>
      </c>
    </row>
    <row r="22" spans="7:8" ht="12.75">
      <c r="G22" s="31"/>
      <c r="H22" s="14"/>
    </row>
    <row r="23" spans="2:3" ht="12.75">
      <c r="B23" s="395" t="s">
        <v>140</v>
      </c>
      <c r="C23" s="395"/>
    </row>
    <row r="25" spans="2:4" ht="12.75">
      <c r="B25" s="395" t="s">
        <v>164</v>
      </c>
      <c r="C25" s="395"/>
      <c r="D25" s="395"/>
    </row>
    <row r="26" ht="12.75">
      <c r="B26" s="14"/>
    </row>
    <row r="27" spans="6:8" ht="12.75">
      <c r="F27" s="24" t="s">
        <v>165</v>
      </c>
      <c r="G27">
        <v>19.685</v>
      </c>
      <c r="H27" t="s">
        <v>196</v>
      </c>
    </row>
    <row r="28" spans="6:7" ht="14.25">
      <c r="F28" s="24" t="s">
        <v>166</v>
      </c>
      <c r="G28" s="25">
        <v>0.6</v>
      </c>
    </row>
    <row r="29" spans="6:7" ht="12.75">
      <c r="F29" s="24" t="s">
        <v>167</v>
      </c>
      <c r="G29" s="25">
        <f>G13/G14</f>
        <v>2.1235955056179776</v>
      </c>
    </row>
    <row r="30" ht="12.75">
      <c r="B30" s="14"/>
    </row>
    <row r="31" spans="2:3" ht="12.75">
      <c r="B31" s="395" t="s">
        <v>172</v>
      </c>
      <c r="C31" s="395"/>
    </row>
    <row r="32" ht="12.75">
      <c r="B32" s="14"/>
    </row>
    <row r="33" spans="2:7" ht="15.75">
      <c r="B33" t="s">
        <v>168</v>
      </c>
      <c r="C33">
        <v>0.535</v>
      </c>
      <c r="F33" s="9" t="s">
        <v>170</v>
      </c>
      <c r="G33" s="11">
        <f>G21*C33</f>
        <v>8231.499807375216</v>
      </c>
    </row>
    <row r="34" spans="2:7" ht="15.75">
      <c r="B34" t="s">
        <v>169</v>
      </c>
      <c r="C34">
        <v>0.45</v>
      </c>
      <c r="F34" s="9" t="s">
        <v>171</v>
      </c>
      <c r="G34" s="11">
        <f>G21*C34</f>
        <v>6923.6914267642005</v>
      </c>
    </row>
    <row r="35" spans="6:7" ht="12.75">
      <c r="F35" s="9"/>
      <c r="G35" s="11"/>
    </row>
    <row r="36" spans="2:3" ht="12.75">
      <c r="B36" s="395" t="s">
        <v>173</v>
      </c>
      <c r="C36" s="395"/>
    </row>
    <row r="37" ht="12.75">
      <c r="B37" s="14"/>
    </row>
    <row r="38" spans="2:7" ht="15.75">
      <c r="B38" t="s">
        <v>174</v>
      </c>
      <c r="C38">
        <v>0.375</v>
      </c>
      <c r="F38" s="9" t="s">
        <v>176</v>
      </c>
      <c r="G38" s="32">
        <f>G14*C38</f>
        <v>16.6875</v>
      </c>
    </row>
    <row r="39" spans="2:7" ht="15.75">
      <c r="B39" t="s">
        <v>175</v>
      </c>
      <c r="C39">
        <v>0.59</v>
      </c>
      <c r="F39" s="9" t="s">
        <v>177</v>
      </c>
      <c r="G39" s="32">
        <f>G14*C39</f>
        <v>26.255</v>
      </c>
    </row>
    <row r="40" ht="12.75">
      <c r="B40" s="14"/>
    </row>
    <row r="41" spans="2:7" ht="12.75">
      <c r="B41" s="14" t="s">
        <v>178</v>
      </c>
      <c r="C41" s="22"/>
      <c r="D41" s="22"/>
      <c r="E41" s="22"/>
      <c r="F41" s="22"/>
      <c r="G41" s="22"/>
    </row>
    <row r="42" spans="2:7" ht="12.75">
      <c r="B42" s="22"/>
      <c r="C42" s="22"/>
      <c r="D42" s="22"/>
      <c r="E42" s="22"/>
      <c r="F42" s="22"/>
      <c r="G42" s="22"/>
    </row>
    <row r="43" spans="2:7" ht="12.75">
      <c r="B43" s="22" t="s">
        <v>179</v>
      </c>
      <c r="C43" s="22"/>
      <c r="D43" s="22"/>
      <c r="E43" s="22"/>
      <c r="F43" s="22"/>
      <c r="G43" s="22"/>
    </row>
    <row r="44" spans="2:7" ht="12.75">
      <c r="B44" s="22"/>
      <c r="C44" s="22"/>
      <c r="D44" s="22"/>
      <c r="E44" s="22"/>
      <c r="F44" s="22"/>
      <c r="G44" s="22"/>
    </row>
    <row r="45" spans="2:7" ht="12.75">
      <c r="B45" s="14" t="s">
        <v>182</v>
      </c>
      <c r="C45" s="14"/>
      <c r="D45" s="14"/>
      <c r="E45" s="14" t="s">
        <v>183</v>
      </c>
      <c r="F45" s="22"/>
      <c r="G45" s="22"/>
    </row>
    <row r="46" spans="2:7" ht="12.75">
      <c r="B46" s="22"/>
      <c r="C46" s="22"/>
      <c r="D46" s="22"/>
      <c r="E46" s="22"/>
      <c r="F46" s="22"/>
      <c r="G46" s="22"/>
    </row>
    <row r="47" spans="2:8" ht="14.25">
      <c r="B47" s="22" t="s">
        <v>184</v>
      </c>
      <c r="C47" s="22"/>
      <c r="D47" s="22"/>
      <c r="E47" s="22"/>
      <c r="F47" s="22"/>
      <c r="G47" s="33">
        <f>0.6*(94.5^0.5)</f>
        <v>5.8326666285670745</v>
      </c>
      <c r="H47" s="14" t="s">
        <v>180</v>
      </c>
    </row>
    <row r="48" spans="2:7" ht="12.75">
      <c r="B48" s="22"/>
      <c r="C48" s="22"/>
      <c r="D48" s="22"/>
      <c r="E48" s="22"/>
      <c r="F48" s="22"/>
      <c r="G48" s="22"/>
    </row>
    <row r="49" spans="2:8" ht="14.25">
      <c r="B49" s="22" t="s">
        <v>181</v>
      </c>
      <c r="C49" s="22"/>
      <c r="D49" s="22"/>
      <c r="E49" s="22" t="s">
        <v>185</v>
      </c>
      <c r="F49" s="22"/>
      <c r="G49" s="6">
        <f>(3.375)*(1.5/5.83^2)</f>
        <v>0.1489456852089947</v>
      </c>
      <c r="H49" s="14" t="s">
        <v>180</v>
      </c>
    </row>
    <row r="50" spans="2:8" ht="12.75">
      <c r="B50" s="22"/>
      <c r="C50" s="22"/>
      <c r="D50" s="22"/>
      <c r="E50" s="22"/>
      <c r="F50" s="22"/>
      <c r="G50" s="6"/>
      <c r="H50" s="14"/>
    </row>
    <row r="51" spans="2:8" ht="12.75">
      <c r="B51" s="22"/>
      <c r="C51" s="22"/>
      <c r="D51" s="22"/>
      <c r="E51" s="22"/>
      <c r="F51" s="22"/>
      <c r="G51" s="6"/>
      <c r="H51" s="14"/>
    </row>
    <row r="52" spans="2:8" ht="12.75">
      <c r="B52" s="22"/>
      <c r="C52" s="22"/>
      <c r="D52" s="22"/>
      <c r="E52" s="22"/>
      <c r="F52" s="22"/>
      <c r="G52" s="6"/>
      <c r="H52" s="14"/>
    </row>
    <row r="53" spans="2:8" ht="12.75">
      <c r="B53" s="22"/>
      <c r="C53" s="22"/>
      <c r="D53" s="22"/>
      <c r="E53" s="22"/>
      <c r="F53" s="22"/>
      <c r="G53" s="6"/>
      <c r="H53" s="14"/>
    </row>
    <row r="54" spans="1:8" ht="12.75">
      <c r="A54" s="395" t="s">
        <v>115</v>
      </c>
      <c r="B54" s="395"/>
      <c r="C54" s="395"/>
      <c r="G54" s="7"/>
      <c r="H54" s="14"/>
    </row>
    <row r="55" spans="1:8" ht="12.75">
      <c r="A55" s="14"/>
      <c r="B55" s="14"/>
      <c r="G55" s="7"/>
      <c r="H55" s="14"/>
    </row>
    <row r="56" spans="2:8" ht="12.75">
      <c r="B56" s="14" t="s">
        <v>186</v>
      </c>
      <c r="G56" s="7"/>
      <c r="H56" s="14"/>
    </row>
    <row r="57" spans="1:8" ht="12.75">
      <c r="A57" s="22"/>
      <c r="B57" s="22"/>
      <c r="H57" s="14"/>
    </row>
    <row r="58" spans="1:8" ht="15.75">
      <c r="A58" s="22"/>
      <c r="B58" s="14" t="s">
        <v>189</v>
      </c>
      <c r="G58" s="7"/>
      <c r="H58" s="14"/>
    </row>
    <row r="59" spans="1:8" ht="12.75">
      <c r="A59" s="22"/>
      <c r="B59" s="22"/>
      <c r="G59" s="7"/>
      <c r="H59" s="14"/>
    </row>
    <row r="60" spans="1:8" ht="12.75">
      <c r="A60" s="22"/>
      <c r="B60" s="22" t="s">
        <v>208</v>
      </c>
      <c r="G60" s="7"/>
      <c r="H60" s="14"/>
    </row>
    <row r="61" spans="1:8" ht="12.75">
      <c r="A61" s="22"/>
      <c r="B61" s="22">
        <f>(0.3)*(1)</f>
        <v>0.3</v>
      </c>
      <c r="C61" s="29">
        <f>0.6*(221)*(19.685)</f>
        <v>2610.2309999999998</v>
      </c>
      <c r="D61" s="29">
        <f>0.6*(317.87)*(48)</f>
        <v>9154.656</v>
      </c>
      <c r="E61" s="29">
        <f>0.6*(8232)*(16.7)</f>
        <v>82484.64</v>
      </c>
      <c r="F61" s="29">
        <f>0.149*(6924)*(26.3)</f>
        <v>27133.0788</v>
      </c>
      <c r="G61" s="31">
        <f>B61*(C61+D61+E61+F61)</f>
        <v>36414.78174</v>
      </c>
      <c r="H61" s="14" t="s">
        <v>193</v>
      </c>
    </row>
    <row r="62" spans="1:8" ht="12.75">
      <c r="A62" s="22"/>
      <c r="B62" s="22"/>
      <c r="G62" s="7"/>
      <c r="H62" s="14"/>
    </row>
    <row r="63" spans="1:8" ht="12.75">
      <c r="A63" s="22"/>
      <c r="B63" s="14" t="s">
        <v>188</v>
      </c>
      <c r="C63" s="29"/>
      <c r="D63" s="29"/>
      <c r="E63" s="29"/>
      <c r="F63" s="29"/>
      <c r="G63" s="34"/>
      <c r="H63" s="14"/>
    </row>
    <row r="64" spans="1:8" ht="12.75">
      <c r="A64" s="22"/>
      <c r="B64" s="22"/>
      <c r="G64" s="7"/>
      <c r="H64" s="14"/>
    </row>
    <row r="65" spans="1:2" ht="12.75">
      <c r="A65" s="22"/>
      <c r="B65" s="22" t="s">
        <v>209</v>
      </c>
    </row>
    <row r="66" spans="1:8" ht="12.75">
      <c r="A66" s="22"/>
      <c r="B66" s="22">
        <f>(0.3)*(1)</f>
        <v>0.3</v>
      </c>
      <c r="C66">
        <f>0.6*(221)</f>
        <v>132.6</v>
      </c>
      <c r="D66">
        <f>0.6*(317.8)</f>
        <v>190.68</v>
      </c>
      <c r="E66">
        <f>0.6*(8232)</f>
        <v>4939.2</v>
      </c>
      <c r="F66">
        <f>0.149*(6924)</f>
        <v>1031.676</v>
      </c>
      <c r="G66" s="31">
        <f>B66*(C66+D66+E66+F66)</f>
        <v>1888.2467999999997</v>
      </c>
      <c r="H66" s="14" t="s">
        <v>149</v>
      </c>
    </row>
    <row r="67" spans="1:2" ht="12.75">
      <c r="A67" s="22"/>
      <c r="B67" s="22"/>
    </row>
    <row r="68" spans="1:2" ht="12.75">
      <c r="A68" s="22"/>
      <c r="B68" s="14" t="s">
        <v>145</v>
      </c>
    </row>
    <row r="70" spans="2:8" ht="14.25">
      <c r="B70" s="18" t="s">
        <v>150</v>
      </c>
      <c r="C70" s="3"/>
      <c r="D70" s="23" t="s">
        <v>155</v>
      </c>
      <c r="G70" s="21">
        <f>E72*G17*F71</f>
        <v>3332.753249473324</v>
      </c>
      <c r="H70" s="26" t="s">
        <v>143</v>
      </c>
    </row>
    <row r="71" spans="2:8" ht="12.75">
      <c r="B71" s="3"/>
      <c r="C71" s="3"/>
      <c r="D71" s="3"/>
      <c r="E71" s="30">
        <f>G18*G16*G14</f>
        <v>1265580</v>
      </c>
      <c r="F71" s="29">
        <f>SQRT(E71)</f>
        <v>1124.979999822219</v>
      </c>
      <c r="G71" s="21"/>
      <c r="H71" s="19"/>
    </row>
    <row r="72" spans="3:5" ht="12.75">
      <c r="C72" t="s">
        <v>142</v>
      </c>
      <c r="E72" s="22">
        <v>7.9</v>
      </c>
    </row>
    <row r="74" spans="2:8" ht="12.75">
      <c r="B74" s="21">
        <f>G70</f>
        <v>3332.753249473324</v>
      </c>
      <c r="C74" s="26" t="s">
        <v>143</v>
      </c>
      <c r="D74" s="14" t="s">
        <v>190</v>
      </c>
      <c r="G74" s="34">
        <f>1.25*G16*G14*G13</f>
        <v>4152.684375</v>
      </c>
      <c r="H74" s="35" t="s">
        <v>143</v>
      </c>
    </row>
    <row r="75" ht="12.75">
      <c r="D75" s="14"/>
    </row>
    <row r="76" spans="6:8" ht="12.75">
      <c r="F76" s="24" t="s">
        <v>191</v>
      </c>
      <c r="G76" s="31">
        <f>1.25*0.79*44.5*94.5</f>
        <v>4152.684375</v>
      </c>
      <c r="H76" s="26" t="s">
        <v>143</v>
      </c>
    </row>
    <row r="77" ht="12.75">
      <c r="B77" s="14" t="s">
        <v>192</v>
      </c>
    </row>
    <row r="78" ht="12.75">
      <c r="B78" s="14"/>
    </row>
    <row r="79" spans="2:4" ht="12.75">
      <c r="B79" s="14" t="s">
        <v>146</v>
      </c>
      <c r="C79" s="31">
        <f>G61</f>
        <v>36414.78174</v>
      </c>
      <c r="D79" s="14" t="s">
        <v>141</v>
      </c>
    </row>
    <row r="80" spans="2:4" ht="12.75">
      <c r="B80" s="14"/>
      <c r="C80" s="21"/>
      <c r="D80" s="14"/>
    </row>
    <row r="81" spans="2:8" ht="15.75">
      <c r="B81" s="22" t="s">
        <v>211</v>
      </c>
      <c r="C81" s="21"/>
      <c r="D81" s="14"/>
      <c r="G81" s="31">
        <f>583.8/(PI()*94.5)+4.153</f>
        <v>6.119447741313195</v>
      </c>
      <c r="H81" t="s">
        <v>139</v>
      </c>
    </row>
    <row r="82" spans="2:4" ht="12.75">
      <c r="B82" s="14"/>
      <c r="C82" s="21"/>
      <c r="D82" s="14"/>
    </row>
    <row r="83" spans="2:4" ht="15.75">
      <c r="B83" t="s">
        <v>144</v>
      </c>
      <c r="D83" t="s">
        <v>194</v>
      </c>
    </row>
    <row r="84" spans="4:8" ht="12.75">
      <c r="D84" s="29">
        <f>C79</f>
        <v>36414.78174</v>
      </c>
      <c r="E84" s="29">
        <f>G13^2*(6.12)</f>
        <v>54653.13</v>
      </c>
      <c r="G84" s="8">
        <f>D84/E84</f>
        <v>0.6662890440126668</v>
      </c>
      <c r="H84" t="s">
        <v>147</v>
      </c>
    </row>
    <row r="85" ht="12.75" hidden="1">
      <c r="B85" s="14"/>
    </row>
    <row r="87" spans="3:7" ht="12.75">
      <c r="C87" t="s">
        <v>210</v>
      </c>
      <c r="F87" s="9" t="s">
        <v>148</v>
      </c>
      <c r="G87" s="20">
        <f>1.815+1.273*36415/94.5^2</f>
        <v>7.00592914532068</v>
      </c>
    </row>
    <row r="88" ht="12.75">
      <c r="G88" s="20"/>
    </row>
    <row r="89" spans="2:7" ht="12.75">
      <c r="B89" s="14" t="s">
        <v>197</v>
      </c>
      <c r="G89" s="20">
        <f>G87</f>
        <v>7.00592914532068</v>
      </c>
    </row>
    <row r="90" spans="2:7" ht="12.75">
      <c r="B90" s="14"/>
      <c r="G90" s="20"/>
    </row>
    <row r="91" spans="2:7" ht="12.75">
      <c r="B91" s="14" t="s">
        <v>198</v>
      </c>
      <c r="G91" s="20"/>
    </row>
    <row r="92" spans="2:7" ht="12.75">
      <c r="B92" s="14"/>
      <c r="D92" t="s">
        <v>212</v>
      </c>
      <c r="G92" s="31">
        <f>7000/6</f>
        <v>1166.6666666666667</v>
      </c>
    </row>
    <row r="93" spans="2:7" ht="12.75">
      <c r="B93" s="14" t="s">
        <v>204</v>
      </c>
      <c r="G93" s="20"/>
    </row>
    <row r="94" spans="2:8" ht="14.25">
      <c r="B94" s="14"/>
      <c r="C94" t="s">
        <v>199</v>
      </c>
      <c r="D94" t="s">
        <v>200</v>
      </c>
      <c r="E94" t="s">
        <v>201</v>
      </c>
      <c r="G94" s="44">
        <f>0.5*10^6/94.5/1000</f>
        <v>5.291005291005291</v>
      </c>
      <c r="H94" t="s">
        <v>139</v>
      </c>
    </row>
    <row r="95" spans="5:7" ht="12.75">
      <c r="E95" s="393" t="s">
        <v>203</v>
      </c>
      <c r="F95" s="393"/>
      <c r="G95" s="31"/>
    </row>
    <row r="96" spans="2:7" ht="12.75">
      <c r="B96" s="14"/>
      <c r="G96" s="31"/>
    </row>
    <row r="107" ht="12.75">
      <c r="B107" s="14"/>
    </row>
    <row r="110" ht="12.75">
      <c r="G110" s="27"/>
    </row>
    <row r="112" spans="4:7" ht="12.75">
      <c r="D112" s="25"/>
      <c r="G112" s="27"/>
    </row>
    <row r="114" ht="12.75">
      <c r="G114" s="27"/>
    </row>
    <row r="116" spans="4:7" ht="12.75">
      <c r="D116" s="25"/>
      <c r="G116" s="27"/>
    </row>
    <row r="118" ht="12.75">
      <c r="G118" s="25"/>
    </row>
    <row r="119" spans="4:7" ht="12.75">
      <c r="D119" s="25"/>
      <c r="E119" s="25"/>
      <c r="G119" s="27"/>
    </row>
    <row r="120" spans="4:7" ht="12.75">
      <c r="D120" s="25"/>
      <c r="E120" s="25"/>
      <c r="G120" s="25"/>
    </row>
    <row r="121" spans="4:7" ht="12.75">
      <c r="D121" s="25"/>
      <c r="E121" s="25"/>
      <c r="G121" s="25"/>
    </row>
    <row r="123" ht="12.75">
      <c r="C123" s="25"/>
    </row>
  </sheetData>
  <sheetProtection/>
  <mergeCells count="11">
    <mergeCell ref="B8:C8"/>
    <mergeCell ref="B36:C36"/>
    <mergeCell ref="B23:C23"/>
    <mergeCell ref="B25:D25"/>
    <mergeCell ref="E95:F95"/>
    <mergeCell ref="A1:C1"/>
    <mergeCell ref="B3:D3"/>
    <mergeCell ref="B31:C31"/>
    <mergeCell ref="A54:C54"/>
    <mergeCell ref="B5:I5"/>
    <mergeCell ref="B6:I6"/>
  </mergeCells>
  <printOptions horizontalCentered="1"/>
  <pageMargins left="0.25" right="0.25" top="0.61" bottom="0.93" header="0.21" footer="0.17"/>
  <pageSetup horizontalDpi="300" verticalDpi="300" orientation="portrait" r:id="rId1"/>
  <headerFooter alignWithMargins="0">
    <oddHeader>&amp;LArt Montemayor&amp;CAPI 650 Storage Tank&amp;RMarch 12, 2002
Rev: 0</oddHeader>
    <oddFooter>&amp;CPage &amp;P of &amp;N&amp;RFileName: &amp;F
WorkSheet: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H36" sqref="H36"/>
    </sheetView>
  </sheetViews>
  <sheetFormatPr defaultColWidth="9.140625" defaultRowHeight="12.75"/>
  <cols>
    <col min="5" max="5" width="9.7109375" style="0" customWidth="1"/>
  </cols>
  <sheetData>
    <row r="1" spans="1:4" ht="15">
      <c r="A1" s="401" t="s">
        <v>115</v>
      </c>
      <c r="B1" s="401"/>
      <c r="C1" s="401"/>
      <c r="D1" s="401"/>
    </row>
    <row r="2" spans="2:7" ht="15">
      <c r="B2" s="36"/>
      <c r="G2" s="31"/>
    </row>
    <row r="3" spans="2:8" ht="12.75">
      <c r="B3" s="14" t="s">
        <v>205</v>
      </c>
      <c r="G3" s="21">
        <f>'Foundation Design - 1'!G61</f>
        <v>36414.78174</v>
      </c>
      <c r="H3" t="s">
        <v>139</v>
      </c>
    </row>
    <row r="4" spans="2:8" ht="12.75">
      <c r="B4" s="14" t="s">
        <v>206</v>
      </c>
      <c r="G4" s="27">
        <f>G3/(PI()/4*(94.5)^2)</f>
        <v>5.191874821451574</v>
      </c>
      <c r="H4" t="s">
        <v>151</v>
      </c>
    </row>
    <row r="5" spans="2:8" ht="12.75">
      <c r="B5" s="14" t="s">
        <v>207</v>
      </c>
      <c r="G5" s="37">
        <f>1888/(PI()/4*(94.5)^2)</f>
        <v>0.2691835346670012</v>
      </c>
      <c r="H5" t="s">
        <v>149</v>
      </c>
    </row>
    <row r="6" spans="2:7" ht="12.75">
      <c r="B6" s="14"/>
      <c r="G6" s="37"/>
    </row>
    <row r="7" ht="12.75">
      <c r="B7" s="14" t="s">
        <v>214</v>
      </c>
    </row>
    <row r="8" ht="12.75">
      <c r="B8" s="14" t="s">
        <v>213</v>
      </c>
    </row>
    <row r="9" ht="12.75">
      <c r="B9" s="14"/>
    </row>
    <row r="10" spans="2:6" ht="14.25">
      <c r="B10" s="14" t="s">
        <v>218</v>
      </c>
      <c r="F10" s="144" t="s">
        <v>365</v>
      </c>
    </row>
    <row r="11" spans="2:6" ht="14.25">
      <c r="B11" s="14" t="s">
        <v>215</v>
      </c>
      <c r="F11" s="144" t="s">
        <v>366</v>
      </c>
    </row>
    <row r="12" spans="2:6" ht="14.25">
      <c r="B12" s="14" t="s">
        <v>216</v>
      </c>
      <c r="F12" s="144" t="s">
        <v>367</v>
      </c>
    </row>
    <row r="13" spans="2:6" ht="14.25">
      <c r="B13" s="14" t="s">
        <v>217</v>
      </c>
      <c r="F13" s="144" t="s">
        <v>368</v>
      </c>
    </row>
    <row r="14" ht="12.75">
      <c r="B14" s="14"/>
    </row>
    <row r="15" ht="12.75">
      <c r="B15" s="14" t="s">
        <v>219</v>
      </c>
    </row>
    <row r="16" ht="12.75">
      <c r="B16" s="14"/>
    </row>
    <row r="17" spans="2:3" ht="12.75">
      <c r="B17" s="14"/>
      <c r="C17" t="s">
        <v>220</v>
      </c>
    </row>
    <row r="18" spans="2:8" ht="12.75">
      <c r="B18" s="14"/>
      <c r="C18" t="s">
        <v>221</v>
      </c>
      <c r="G18" s="21">
        <f>0.3*(6)*(50*44.5+0.5*110*6)+270</f>
        <v>4869</v>
      </c>
      <c r="H18" t="s">
        <v>149</v>
      </c>
    </row>
    <row r="19" spans="2:7" ht="12.75">
      <c r="B19" s="14"/>
      <c r="G19" s="14"/>
    </row>
    <row r="20" spans="2:7" ht="12.75">
      <c r="B20" s="14" t="s">
        <v>222</v>
      </c>
      <c r="G20" s="14"/>
    </row>
    <row r="21" spans="2:7" ht="12.75">
      <c r="B21" s="14"/>
      <c r="G21" s="14"/>
    </row>
    <row r="22" spans="2:8" ht="12.75">
      <c r="B22" s="14"/>
      <c r="C22" t="s">
        <v>223</v>
      </c>
      <c r="G22" s="31">
        <f>0.5*(4869)*(94.5)/1000</f>
        <v>230.06025</v>
      </c>
      <c r="H22" t="s">
        <v>149</v>
      </c>
    </row>
    <row r="23" spans="2:7" ht="12.75">
      <c r="B23" s="14"/>
      <c r="G23" s="31"/>
    </row>
    <row r="24" spans="2:8" ht="12.75">
      <c r="B24" s="14"/>
      <c r="C24" t="s">
        <v>224</v>
      </c>
      <c r="G24" s="31">
        <f>231/24</f>
        <v>9.625</v>
      </c>
      <c r="H24" t="s">
        <v>97</v>
      </c>
    </row>
    <row r="25" spans="2:7" ht="12.75">
      <c r="B25" s="14"/>
      <c r="G25" s="31"/>
    </row>
    <row r="26" spans="2:7" ht="12.75">
      <c r="B26" s="14"/>
      <c r="C26" s="14" t="s">
        <v>225</v>
      </c>
      <c r="G26" s="31"/>
    </row>
    <row r="27" spans="2:7" ht="12.75">
      <c r="B27" s="14"/>
      <c r="C27" s="14" t="s">
        <v>226</v>
      </c>
      <c r="G27" s="31"/>
    </row>
    <row r="28" spans="2:7" ht="12.75">
      <c r="B28" s="14"/>
      <c r="G28" s="31"/>
    </row>
    <row r="29" spans="2:7" ht="12.75">
      <c r="B29" s="14" t="s">
        <v>227</v>
      </c>
      <c r="G29" s="31"/>
    </row>
    <row r="30" spans="2:7" ht="12.75">
      <c r="B30" s="14"/>
      <c r="G30" s="31"/>
    </row>
    <row r="31" spans="2:7" ht="12.75">
      <c r="B31" s="14"/>
      <c r="C31" t="s">
        <v>228</v>
      </c>
      <c r="F31" t="s">
        <v>229</v>
      </c>
      <c r="G31" s="31"/>
    </row>
    <row r="32" spans="2:7" ht="12.75">
      <c r="B32" s="14"/>
      <c r="G32" s="31"/>
    </row>
    <row r="33" spans="2:7" ht="12.75">
      <c r="B33" s="14"/>
      <c r="C33" t="s">
        <v>230</v>
      </c>
      <c r="F33" s="38"/>
      <c r="G33" s="27">
        <f>(2)*(1100)/(50*(44.5)-2*(6)*(150-110))</f>
        <v>1.2607449856733524</v>
      </c>
    </row>
    <row r="34" spans="2:9" ht="12.75">
      <c r="B34" s="14"/>
      <c r="F34" s="402" t="s">
        <v>369</v>
      </c>
      <c r="G34" s="402"/>
      <c r="H34" s="402"/>
      <c r="I34" s="402"/>
    </row>
    <row r="35" spans="2:7" ht="12.75">
      <c r="B35" s="14"/>
      <c r="G35" s="31"/>
    </row>
    <row r="36" spans="2:7" ht="12.75">
      <c r="B36" s="14"/>
      <c r="G36" s="31"/>
    </row>
    <row r="37" spans="2:7" ht="12.75">
      <c r="B37" s="14"/>
      <c r="G37" s="31"/>
    </row>
    <row r="38" spans="2:7" ht="12.75">
      <c r="B38" s="14"/>
      <c r="G38" s="31"/>
    </row>
    <row r="39" spans="2:7" ht="12.75">
      <c r="B39" s="14"/>
      <c r="G39" s="31"/>
    </row>
    <row r="40" spans="2:7" ht="12.75">
      <c r="B40" s="14"/>
      <c r="G40" s="31"/>
    </row>
    <row r="41" spans="2:7" ht="12.75">
      <c r="B41" s="14"/>
      <c r="G41" s="31"/>
    </row>
    <row r="42" spans="2:7" ht="12.75">
      <c r="B42" s="14"/>
      <c r="G42" s="31"/>
    </row>
    <row r="43" spans="2:7" ht="12.75">
      <c r="B43" s="14"/>
      <c r="G43" s="31"/>
    </row>
    <row r="44" spans="2:7" ht="12.75">
      <c r="B44" s="14"/>
      <c r="G44" s="31"/>
    </row>
    <row r="45" spans="2:7" ht="12.75">
      <c r="B45" s="14"/>
      <c r="G45" s="31"/>
    </row>
    <row r="46" spans="2:7" ht="12" customHeight="1">
      <c r="B46" s="14"/>
      <c r="G46" s="31"/>
    </row>
    <row r="47" spans="2:7" ht="12.75">
      <c r="B47" s="14"/>
      <c r="G47" s="31"/>
    </row>
    <row r="48" spans="2:7" ht="12.75">
      <c r="B48" s="14"/>
      <c r="G48" s="31"/>
    </row>
    <row r="49" spans="2:7" ht="12.75">
      <c r="B49" s="14"/>
      <c r="G49" s="31"/>
    </row>
    <row r="50" spans="2:7" ht="12.75">
      <c r="B50" s="14"/>
      <c r="G50" s="31"/>
    </row>
    <row r="51" spans="2:7" ht="12.75">
      <c r="B51" s="14"/>
      <c r="G51" s="31"/>
    </row>
    <row r="52" spans="2:7" ht="12.75">
      <c r="B52" s="14"/>
      <c r="G52" s="31"/>
    </row>
    <row r="53" spans="2:7" ht="12.75">
      <c r="B53" s="14"/>
      <c r="G53" s="31"/>
    </row>
    <row r="54" spans="2:7" ht="12.75">
      <c r="B54" s="14"/>
      <c r="G54" s="31"/>
    </row>
    <row r="55" spans="2:7" ht="12.75">
      <c r="B55" s="14"/>
      <c r="G55" s="31"/>
    </row>
    <row r="56" spans="2:7" ht="12.75">
      <c r="B56" s="14"/>
      <c r="G56" s="31"/>
    </row>
    <row r="57" spans="2:7" ht="12.75">
      <c r="B57" s="14"/>
      <c r="G57" s="31"/>
    </row>
    <row r="58" spans="2:7" ht="12.75">
      <c r="B58" s="14"/>
      <c r="G58" s="31"/>
    </row>
    <row r="59" spans="2:7" ht="12.75">
      <c r="B59" s="14" t="s">
        <v>231</v>
      </c>
      <c r="G59" s="31"/>
    </row>
    <row r="60" spans="2:7" ht="12.75">
      <c r="B60" s="14"/>
      <c r="G60" s="31"/>
    </row>
    <row r="61" spans="3:7" ht="15.75">
      <c r="C61" s="22" t="s">
        <v>235</v>
      </c>
      <c r="G61" s="31"/>
    </row>
    <row r="62" spans="2:7" ht="14.25">
      <c r="B62" s="22" t="s">
        <v>233</v>
      </c>
      <c r="G62" s="14"/>
    </row>
    <row r="63" spans="2:8" ht="12.75">
      <c r="B63" s="14"/>
      <c r="C63">
        <f>0.0003*(29*10^6)*(10)+231000</f>
        <v>318000</v>
      </c>
      <c r="E63">
        <f>(16*72)+(9*10)</f>
        <v>1242</v>
      </c>
      <c r="G63" s="31">
        <f>C63/E63</f>
        <v>256.03864734299515</v>
      </c>
      <c r="H63" t="s">
        <v>202</v>
      </c>
    </row>
    <row r="64" spans="2:8" ht="12.75">
      <c r="B64" s="14"/>
      <c r="C64" t="s">
        <v>232</v>
      </c>
      <c r="G64" s="14">
        <f>0.15*(3000)</f>
        <v>450</v>
      </c>
      <c r="H64" t="s">
        <v>202</v>
      </c>
    </row>
    <row r="65" spans="2:7" ht="12.75">
      <c r="B65" s="14"/>
      <c r="G65" s="39" t="str">
        <f>IF(G64&gt;G63,"OK")</f>
        <v>OK</v>
      </c>
    </row>
    <row r="66" spans="2:7" ht="12.75">
      <c r="B66" s="14" t="s">
        <v>234</v>
      </c>
      <c r="G66" s="31"/>
    </row>
    <row r="67" spans="2:7" ht="12.75">
      <c r="B67" s="22"/>
      <c r="G67" s="31"/>
    </row>
    <row r="68" spans="2:7" ht="12.75">
      <c r="B68" s="14"/>
      <c r="C68" s="14" t="s">
        <v>236</v>
      </c>
      <c r="G68" s="31"/>
    </row>
    <row r="69" spans="2:7" ht="12.75">
      <c r="B69" s="14"/>
      <c r="G69" s="31"/>
    </row>
    <row r="70" spans="2:8" ht="12.75">
      <c r="B70" s="14"/>
      <c r="C70" t="s">
        <v>237</v>
      </c>
      <c r="G70" s="20">
        <f>1.33*5*0.15</f>
        <v>0.9975</v>
      </c>
      <c r="H70" t="s">
        <v>149</v>
      </c>
    </row>
    <row r="71" spans="2:8" ht="12.75">
      <c r="B71" s="14"/>
      <c r="C71" t="s">
        <v>238</v>
      </c>
      <c r="G71" s="8">
        <f>3.5*1*0.15</f>
        <v>0.525</v>
      </c>
      <c r="H71" t="s">
        <v>149</v>
      </c>
    </row>
    <row r="72" spans="2:8" ht="12.75">
      <c r="B72" s="14"/>
      <c r="C72" t="s">
        <v>239</v>
      </c>
      <c r="G72" s="27">
        <f>2.17*4*0.11</f>
        <v>0.9548</v>
      </c>
      <c r="H72" t="s">
        <v>149</v>
      </c>
    </row>
    <row r="73" spans="2:8" ht="12.75">
      <c r="B73" s="14"/>
      <c r="G73" s="27">
        <f>G70+G71+G72</f>
        <v>2.4773</v>
      </c>
      <c r="H73" t="s">
        <v>149</v>
      </c>
    </row>
    <row r="74" ht="12.75">
      <c r="B74" s="14"/>
    </row>
    <row r="75" ht="12.75">
      <c r="C75" s="14" t="s">
        <v>240</v>
      </c>
    </row>
    <row r="76" ht="12.75">
      <c r="G76" s="27"/>
    </row>
    <row r="77" spans="3:8" ht="12.75">
      <c r="C77" s="14" t="s">
        <v>241</v>
      </c>
      <c r="G77" s="14">
        <v>1.1</v>
      </c>
      <c r="H77" t="s">
        <v>149</v>
      </c>
    </row>
    <row r="78" spans="3:8" ht="12.75">
      <c r="C78" s="14" t="s">
        <v>242</v>
      </c>
      <c r="G78" s="27">
        <v>2.48</v>
      </c>
      <c r="H78" t="s">
        <v>149</v>
      </c>
    </row>
    <row r="80" spans="4:8" ht="12.75">
      <c r="D80" s="27" t="s">
        <v>243</v>
      </c>
      <c r="F80" s="33" t="s">
        <v>244</v>
      </c>
      <c r="G80" s="20">
        <f>3.58/3.5</f>
        <v>1.022857142857143</v>
      </c>
      <c r="H80" t="s">
        <v>149</v>
      </c>
    </row>
    <row r="82" spans="3:7" ht="12.75">
      <c r="C82" s="14" t="s">
        <v>245</v>
      </c>
      <c r="G82" s="25"/>
    </row>
    <row r="83" spans="4:7" ht="12.75">
      <c r="D83" s="25"/>
      <c r="E83" s="25"/>
      <c r="G83" s="27"/>
    </row>
    <row r="84" spans="3:7" ht="12.75">
      <c r="C84" s="14" t="s">
        <v>246</v>
      </c>
      <c r="D84" s="25"/>
      <c r="E84" s="25"/>
      <c r="G84" s="25"/>
    </row>
    <row r="85" spans="4:7" ht="12.75">
      <c r="D85" s="25"/>
      <c r="E85" s="25"/>
      <c r="G85" s="25"/>
    </row>
    <row r="86" spans="3:8" ht="12.75">
      <c r="C86" t="s">
        <v>247</v>
      </c>
      <c r="G86" s="14">
        <f>3.58+5.19</f>
        <v>8.77</v>
      </c>
      <c r="H86" t="s">
        <v>149</v>
      </c>
    </row>
    <row r="87" spans="3:8" ht="12.75">
      <c r="C87" s="25" t="s">
        <v>250</v>
      </c>
      <c r="G87" s="8">
        <v>0.27</v>
      </c>
      <c r="H87" t="s">
        <v>149</v>
      </c>
    </row>
    <row r="88" spans="3:8" ht="12.75">
      <c r="C88" s="14" t="s">
        <v>248</v>
      </c>
      <c r="F88" t="s">
        <v>249</v>
      </c>
      <c r="G88" s="14">
        <f>0.27*(6)</f>
        <v>1.62</v>
      </c>
      <c r="H88" t="s">
        <v>149</v>
      </c>
    </row>
    <row r="89" ht="12.75">
      <c r="C89" s="25"/>
    </row>
    <row r="90" spans="3:8" ht="12.75">
      <c r="C90" s="14" t="s">
        <v>251</v>
      </c>
      <c r="H90" s="26"/>
    </row>
    <row r="91" spans="3:8" ht="12.75">
      <c r="C91" t="s">
        <v>252</v>
      </c>
      <c r="G91" s="27">
        <f>8.77/3.5*1</f>
        <v>2.505714285714286</v>
      </c>
      <c r="H91" t="s">
        <v>149</v>
      </c>
    </row>
    <row r="92" spans="6:8" ht="12.75">
      <c r="F92" t="s">
        <v>253</v>
      </c>
      <c r="G92" s="27">
        <f>2.51+0.79</f>
        <v>3.3</v>
      </c>
      <c r="H92" t="s">
        <v>149</v>
      </c>
    </row>
    <row r="93" spans="3:7" ht="12.75">
      <c r="C93" s="14" t="s">
        <v>254</v>
      </c>
      <c r="G93" s="14">
        <f>3*1.33</f>
        <v>3.99</v>
      </c>
    </row>
    <row r="94" ht="12.75">
      <c r="G94" s="39" t="str">
        <f>IF(G93&gt;G92,"OK")</f>
        <v>OK</v>
      </c>
    </row>
    <row r="96" ht="12.75">
      <c r="C96" s="14" t="s">
        <v>255</v>
      </c>
    </row>
    <row r="97" ht="12.75">
      <c r="C97" s="14" t="s">
        <v>256</v>
      </c>
    </row>
  </sheetData>
  <sheetProtection/>
  <mergeCells count="2">
    <mergeCell ref="A1:D1"/>
    <mergeCell ref="F34:I34"/>
  </mergeCells>
  <printOptions horizontalCentered="1"/>
  <pageMargins left="0.5" right="0.5" top="0.49" bottom="0.93" header="0.12" footer="0.5"/>
  <pageSetup horizontalDpi="300" verticalDpi="300" orientation="portrait" r:id="rId2"/>
  <headerFooter alignWithMargins="0">
    <oddHeader>&amp;LArt Montemayor&amp;CAPI 650 Storage Tank&amp;RMarch 12, 2002
Rev: 0</oddHeader>
    <oddFooter>&amp;CPage &amp;P of &amp;N&amp;RFileName: &amp;F
WorkSheet: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K19" sqref="K19"/>
    </sheetView>
  </sheetViews>
  <sheetFormatPr defaultColWidth="9.140625" defaultRowHeight="12.75"/>
  <sheetData>
    <row r="1" spans="1:4" ht="12.75">
      <c r="A1" s="394" t="s">
        <v>363</v>
      </c>
      <c r="B1" s="394"/>
      <c r="C1" s="394"/>
      <c r="D1" s="394"/>
    </row>
    <row r="47" ht="15.75">
      <c r="A47" s="40" t="s">
        <v>257</v>
      </c>
    </row>
    <row r="48" spans="1:8" ht="12.75">
      <c r="A48" s="396" t="s">
        <v>259</v>
      </c>
      <c r="B48" s="396"/>
      <c r="C48" s="396"/>
      <c r="D48" s="396"/>
      <c r="E48" s="396"/>
      <c r="F48" s="396"/>
      <c r="G48" s="396"/>
      <c r="H48" s="396"/>
    </row>
    <row r="49" spans="1:8" ht="12.75">
      <c r="A49" s="396" t="s">
        <v>258</v>
      </c>
      <c r="B49" s="396"/>
      <c r="C49" s="396"/>
      <c r="D49" s="396"/>
      <c r="E49" s="396"/>
      <c r="F49" s="396"/>
      <c r="G49" s="396"/>
      <c r="H49" s="396"/>
    </row>
    <row r="50" spans="1:10" ht="12.75">
      <c r="A50" s="396" t="s">
        <v>261</v>
      </c>
      <c r="B50" s="396"/>
      <c r="C50" s="396"/>
      <c r="D50" s="396"/>
      <c r="E50" s="396"/>
      <c r="F50" s="396"/>
      <c r="G50" s="396"/>
      <c r="H50" s="396"/>
      <c r="I50" s="396"/>
      <c r="J50" s="396"/>
    </row>
    <row r="51" spans="1:8" ht="12.75">
      <c r="A51" s="396" t="s">
        <v>260</v>
      </c>
      <c r="B51" s="396"/>
      <c r="C51" s="396"/>
      <c r="D51" s="396"/>
      <c r="E51" s="396"/>
      <c r="F51" s="396"/>
      <c r="G51" s="396"/>
      <c r="H51" s="396"/>
    </row>
  </sheetData>
  <sheetProtection/>
  <mergeCells count="5">
    <mergeCell ref="A1:D1"/>
    <mergeCell ref="A51:H51"/>
    <mergeCell ref="A50:J50"/>
    <mergeCell ref="A48:H48"/>
    <mergeCell ref="A49:H49"/>
  </mergeCells>
  <printOptions horizontalCentered="1"/>
  <pageMargins left="0.5" right="0.29" top="0.52" bottom="0.93" header="0.17" footer="0.55"/>
  <pageSetup horizontalDpi="300" verticalDpi="300" orientation="portrait" r:id="rId2"/>
  <headerFooter alignWithMargins="0">
    <oddHeader>&amp;LArt Montemayor&amp;CAPI 650 Storage Tank&amp;RMarch 12, 2002
Rev: 0</oddHeader>
    <oddFooter>&amp;CPage &amp;P of &amp;N&amp;RFileName: &amp;F
WorkSheet: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17002 Hillview Lane; Spring, TX   77379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API 650 Storage Tank Design</dc:title>
  <dc:subject/>
  <dc:creator>Art Montemayor</dc:creator>
  <cp:keywords/>
  <dc:description/>
  <cp:lastModifiedBy>comp</cp:lastModifiedBy>
  <cp:lastPrinted>2004-03-07T20:51:24Z</cp:lastPrinted>
  <dcterms:created xsi:type="dcterms:W3CDTF">2000-08-09T15:57:00Z</dcterms:created>
  <dcterms:modified xsi:type="dcterms:W3CDTF">2016-06-09T17:53:50Z</dcterms:modified>
  <cp:category/>
  <cp:version/>
  <cp:contentType/>
  <cp:contentStatus/>
</cp:coreProperties>
</file>