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INPUTS" sheetId="1" r:id="rId1"/>
    <sheet name="UG-37" sheetId="2" r:id="rId2"/>
    <sheet name="A-1-10" sheetId="3" r:id="rId3"/>
    <sheet name="A-1-7" sheetId="4" r:id="rId4"/>
    <sheet name="div-2" sheetId="5" r:id="rId5"/>
  </sheets>
  <definedNames/>
  <calcPr fullCalcOnLoad="1"/>
</workbook>
</file>

<file path=xl/sharedStrings.xml><?xml version="1.0" encoding="utf-8"?>
<sst xmlns="http://schemas.openxmlformats.org/spreadsheetml/2006/main" count="684" uniqueCount="456">
  <si>
    <t>t</t>
  </si>
  <si>
    <r>
      <t>t</t>
    </r>
    <r>
      <rPr>
        <vertAlign val="subscript"/>
        <sz val="10"/>
        <rFont val="Arial"/>
        <family val="2"/>
      </rPr>
      <t>r</t>
    </r>
  </si>
  <si>
    <r>
      <t>t</t>
    </r>
    <r>
      <rPr>
        <vertAlign val="subscript"/>
        <sz val="10"/>
        <rFont val="Arial"/>
        <family val="2"/>
      </rPr>
      <t>n</t>
    </r>
  </si>
  <si>
    <r>
      <t>t</t>
    </r>
    <r>
      <rPr>
        <vertAlign val="subscript"/>
        <sz val="10"/>
        <rFont val="Arial"/>
        <family val="2"/>
      </rPr>
      <t>e</t>
    </r>
  </si>
  <si>
    <t>d</t>
  </si>
  <si>
    <t>allowable stress in nozzle</t>
  </si>
  <si>
    <r>
      <t>S</t>
    </r>
    <r>
      <rPr>
        <vertAlign val="subscript"/>
        <sz val="10"/>
        <rFont val="Arial"/>
        <family val="2"/>
      </rPr>
      <t>n</t>
    </r>
  </si>
  <si>
    <r>
      <t>S</t>
    </r>
    <r>
      <rPr>
        <vertAlign val="subscript"/>
        <sz val="10"/>
        <rFont val="Arial"/>
        <family val="2"/>
      </rPr>
      <t>v</t>
    </r>
  </si>
  <si>
    <r>
      <t>S</t>
    </r>
    <r>
      <rPr>
        <vertAlign val="subscript"/>
        <sz val="10"/>
        <rFont val="Arial"/>
        <family val="2"/>
      </rPr>
      <t>p</t>
    </r>
  </si>
  <si>
    <t>D</t>
  </si>
  <si>
    <t>force correlation factor</t>
  </si>
  <si>
    <t>mm</t>
  </si>
  <si>
    <r>
      <t>kgf/cm</t>
    </r>
    <r>
      <rPr>
        <vertAlign val="superscript"/>
        <sz val="10"/>
        <rFont val="Arial"/>
        <family val="2"/>
      </rPr>
      <t>2</t>
    </r>
  </si>
  <si>
    <t>kgf/cm2</t>
  </si>
  <si>
    <t>-</t>
  </si>
  <si>
    <r>
      <t>t</t>
    </r>
    <r>
      <rPr>
        <vertAlign val="subscript"/>
        <sz val="10"/>
        <rFont val="Arial"/>
        <family val="2"/>
      </rPr>
      <t>a</t>
    </r>
  </si>
  <si>
    <r>
      <t>t</t>
    </r>
    <r>
      <rPr>
        <vertAlign val="subscript"/>
        <sz val="10"/>
        <rFont val="Arial"/>
        <family val="2"/>
      </rPr>
      <t>b1</t>
    </r>
  </si>
  <si>
    <r>
      <t>t</t>
    </r>
    <r>
      <rPr>
        <vertAlign val="subscript"/>
        <sz val="10"/>
        <rFont val="Arial"/>
        <family val="2"/>
      </rPr>
      <t>b2</t>
    </r>
  </si>
  <si>
    <r>
      <t>t</t>
    </r>
    <r>
      <rPr>
        <vertAlign val="subscript"/>
        <sz val="10"/>
        <rFont val="Arial"/>
        <family val="2"/>
      </rPr>
      <t>b3</t>
    </r>
  </si>
  <si>
    <t>P</t>
  </si>
  <si>
    <t>required thickness</t>
  </si>
  <si>
    <t>nomianal size(I.D. of nozzle)</t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</si>
  <si>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</si>
  <si>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</si>
  <si>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5</t>
    </r>
  </si>
  <si>
    <r>
      <t>t</t>
    </r>
    <r>
      <rPr>
        <vertAlign val="subscript"/>
        <sz val="10"/>
        <rFont val="Arial"/>
        <family val="2"/>
      </rPr>
      <t>r,ext</t>
    </r>
  </si>
  <si>
    <r>
      <t xml:space="preserve"> [if fr&lt;1] dt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F + 2t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F(1-f</t>
    </r>
    <r>
      <rPr>
        <vertAlign val="subscript"/>
        <sz val="10"/>
        <rFont val="Arial"/>
        <family val="2"/>
      </rPr>
      <t>r1</t>
    </r>
    <r>
      <rPr>
        <sz val="10"/>
        <rFont val="Arial"/>
        <family val="2"/>
      </rPr>
      <t>), else dt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F </t>
    </r>
  </si>
  <si>
    <r>
      <t>max(d[E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t-Ft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]-2t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(E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t-Ft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)(1-f</t>
    </r>
    <r>
      <rPr>
        <vertAlign val="subscript"/>
        <sz val="10"/>
        <rFont val="Arial"/>
        <family val="2"/>
      </rPr>
      <t>r1</t>
    </r>
    <r>
      <rPr>
        <sz val="10"/>
        <rFont val="Arial"/>
        <family val="2"/>
      </rPr>
      <t>) , 2(t+t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)(E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t-Ft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)-2t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(E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t-Ft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)(1-f</t>
    </r>
    <r>
      <rPr>
        <vertAlign val="subscript"/>
        <sz val="10"/>
        <rFont val="Arial"/>
        <family val="2"/>
      </rPr>
      <t>r1</t>
    </r>
    <r>
      <rPr>
        <sz val="10"/>
        <rFont val="Arial"/>
        <family val="2"/>
      </rPr>
      <t>))</t>
    </r>
  </si>
  <si>
    <t>Area required</t>
  </si>
  <si>
    <t>Area available in shell</t>
  </si>
  <si>
    <t>Area available in nozzle</t>
  </si>
  <si>
    <r>
      <t>D</t>
    </r>
    <r>
      <rPr>
        <vertAlign val="subscript"/>
        <sz val="10"/>
        <rFont val="Arial"/>
        <family val="2"/>
      </rPr>
      <t>p</t>
    </r>
  </si>
  <si>
    <t>input according to  location of opening</t>
  </si>
  <si>
    <r>
      <t>L</t>
    </r>
    <r>
      <rPr>
        <vertAlign val="subscript"/>
        <sz val="10"/>
        <rFont val="Arial"/>
        <family val="2"/>
      </rPr>
      <t>R</t>
    </r>
  </si>
  <si>
    <r>
      <t>L</t>
    </r>
    <r>
      <rPr>
        <vertAlign val="subscript"/>
        <sz val="10"/>
        <rFont val="Arial"/>
        <family val="2"/>
      </rPr>
      <t>H2</t>
    </r>
  </si>
  <si>
    <r>
      <t>L</t>
    </r>
    <r>
      <rPr>
        <vertAlign val="subscript"/>
        <sz val="10"/>
        <rFont val="Arial"/>
        <family val="2"/>
      </rPr>
      <t>H3</t>
    </r>
  </si>
  <si>
    <r>
      <t>L</t>
    </r>
    <r>
      <rPr>
        <vertAlign val="subscript"/>
        <sz val="10"/>
        <rFont val="Arial"/>
        <family val="2"/>
      </rPr>
      <t>H</t>
    </r>
  </si>
  <si>
    <r>
      <t>A</t>
    </r>
    <r>
      <rPr>
        <vertAlign val="subscript"/>
        <sz val="10"/>
        <rFont val="Arial"/>
        <family val="2"/>
      </rPr>
      <t>T</t>
    </r>
  </si>
  <si>
    <r>
      <t>R</t>
    </r>
    <r>
      <rPr>
        <vertAlign val="subscript"/>
        <sz val="10"/>
        <rFont val="Arial"/>
        <family val="2"/>
      </rPr>
      <t>eff</t>
    </r>
  </si>
  <si>
    <r>
      <t>f</t>
    </r>
    <r>
      <rPr>
        <vertAlign val="subscript"/>
        <sz val="10"/>
        <rFont val="Arial"/>
        <family val="2"/>
      </rPr>
      <t>N</t>
    </r>
  </si>
  <si>
    <r>
      <t>f</t>
    </r>
    <r>
      <rPr>
        <vertAlign val="subscript"/>
        <sz val="10"/>
        <rFont val="Arial"/>
        <family val="2"/>
      </rPr>
      <t>Y</t>
    </r>
  </si>
  <si>
    <r>
      <t>f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</si>
  <si>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nc</t>
    </r>
  </si>
  <si>
    <r>
      <t>t</t>
    </r>
    <r>
      <rPr>
        <vertAlign val="subscript"/>
        <sz val="10"/>
        <rFont val="Arial"/>
        <family val="2"/>
      </rPr>
      <t>eff</t>
    </r>
  </si>
  <si>
    <r>
      <t>σ</t>
    </r>
    <r>
      <rPr>
        <vertAlign val="subscript"/>
        <sz val="10"/>
        <rFont val="Arial"/>
        <family val="2"/>
      </rPr>
      <t>avg</t>
    </r>
  </si>
  <si>
    <r>
      <t>σ</t>
    </r>
    <r>
      <rPr>
        <vertAlign val="subscript"/>
        <sz val="10"/>
        <rFont val="Arial"/>
        <family val="2"/>
      </rPr>
      <t>circ</t>
    </r>
  </si>
  <si>
    <r>
      <t>P</t>
    </r>
    <r>
      <rPr>
        <vertAlign val="subscript"/>
        <sz val="10"/>
        <rFont val="Arial"/>
        <family val="2"/>
      </rPr>
      <t>L</t>
    </r>
  </si>
  <si>
    <r>
      <t>S</t>
    </r>
    <r>
      <rPr>
        <vertAlign val="subscript"/>
        <sz val="10"/>
        <rFont val="Arial"/>
        <family val="2"/>
      </rPr>
      <t>allow</t>
    </r>
  </si>
  <si>
    <r>
      <t>A</t>
    </r>
    <r>
      <rPr>
        <vertAlign val="subscript"/>
        <sz val="10"/>
        <rFont val="Arial"/>
        <family val="2"/>
      </rPr>
      <t>P</t>
    </r>
  </si>
  <si>
    <r>
      <t>P</t>
    </r>
    <r>
      <rPr>
        <vertAlign val="subscript"/>
        <sz val="10"/>
        <rFont val="Arial"/>
        <family val="2"/>
      </rPr>
      <t>max1</t>
    </r>
  </si>
  <si>
    <r>
      <t>P</t>
    </r>
    <r>
      <rPr>
        <vertAlign val="subscript"/>
        <sz val="10"/>
        <rFont val="Arial"/>
        <family val="2"/>
      </rPr>
      <t>max2</t>
    </r>
  </si>
  <si>
    <r>
      <t>P</t>
    </r>
    <r>
      <rPr>
        <vertAlign val="subscript"/>
        <sz val="10"/>
        <rFont val="Arial"/>
        <family val="2"/>
      </rPr>
      <t>max</t>
    </r>
  </si>
  <si>
    <r>
      <t>min(P</t>
    </r>
    <r>
      <rPr>
        <vertAlign val="subscript"/>
        <sz val="10"/>
        <rFont val="Arial"/>
        <family val="2"/>
      </rPr>
      <t>max1</t>
    </r>
    <r>
      <rPr>
        <sz val="10"/>
        <rFont val="Arial"/>
        <family val="2"/>
      </rPr>
      <t>,P</t>
    </r>
    <r>
      <rPr>
        <vertAlign val="subscript"/>
        <sz val="10"/>
        <rFont val="Arial"/>
        <family val="2"/>
      </rPr>
      <t>max2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</si>
  <si>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*(t/R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</si>
  <si>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allow</t>
    </r>
    <r>
      <rPr>
        <sz val="10"/>
        <rFont val="Arial"/>
        <family val="2"/>
      </rPr>
      <t>/(2(A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/A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)-(R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2"/>
      </rPr>
      <t>))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</si>
  <si>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(L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-t)+R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2"/>
      </rPr>
      <t>(L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+t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+R</t>
    </r>
    <r>
      <rPr>
        <vertAlign val="subscript"/>
        <sz val="10"/>
        <rFont val="Arial"/>
        <family val="2"/>
      </rPr>
      <t>nc</t>
    </r>
    <r>
      <rPr>
        <sz val="10"/>
        <rFont val="Arial"/>
        <family val="2"/>
      </rPr>
      <t>)</t>
    </r>
  </si>
  <si>
    <r>
      <t>max[2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2"/>
      </rPr>
      <t>-σ</t>
    </r>
    <r>
      <rPr>
        <vertAlign val="subscript"/>
        <sz val="10"/>
        <rFont val="Arial"/>
        <family val="2"/>
      </rPr>
      <t>circ</t>
    </r>
    <r>
      <rPr>
        <sz val="10"/>
        <rFont val="Arial"/>
        <family val="2"/>
      </rPr>
      <t>,σ</t>
    </r>
    <r>
      <rPr>
        <vertAlign val="subscript"/>
        <sz val="10"/>
        <rFont val="Arial"/>
        <family val="2"/>
      </rPr>
      <t>circ</t>
    </r>
    <r>
      <rPr>
        <sz val="10"/>
        <rFont val="Arial"/>
        <family val="0"/>
      </rPr>
      <t>]</t>
    </r>
  </si>
  <si>
    <r>
      <t>Pr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eff</t>
    </r>
  </si>
  <si>
    <r>
      <t>(f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+f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)/A</t>
    </r>
    <r>
      <rPr>
        <vertAlign val="subscript"/>
        <sz val="10"/>
        <rFont val="Arial"/>
        <family val="2"/>
      </rPr>
      <t>T</t>
    </r>
  </si>
  <si>
    <r>
      <t>PR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nc</t>
    </r>
  </si>
  <si>
    <r>
      <t>PR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>(L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+t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</si>
  <si>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r>
      <t>PR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(L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-t)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</si>
  <si>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/cosΦ</t>
    </r>
  </si>
  <si>
    <r>
      <t>if 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&gt;0.5tand w&gt;8(t+t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),</t>
    </r>
    <r>
      <rPr>
        <sz val="10"/>
        <rFont val="Arial"/>
        <family val="0"/>
      </rPr>
      <t>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else t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</si>
  <si>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41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42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5</t>
    </r>
  </si>
  <si>
    <r>
      <t>min(A</t>
    </r>
    <r>
      <rPr>
        <vertAlign val="subscript"/>
        <sz val="10"/>
        <rFont val="Arial"/>
        <family val="2"/>
      </rPr>
      <t>5a</t>
    </r>
    <r>
      <rPr>
        <sz val="10"/>
        <rFont val="Arial"/>
        <family val="2"/>
      </rPr>
      <t>,A</t>
    </r>
    <r>
      <rPr>
        <vertAlign val="subscript"/>
        <sz val="10"/>
        <rFont val="Arial"/>
        <family val="2"/>
      </rPr>
      <t>5b</t>
    </r>
    <r>
      <rPr>
        <sz val="10"/>
        <rFont val="Arial"/>
        <family val="2"/>
      </rPr>
      <t>)</t>
    </r>
  </si>
  <si>
    <t>W</t>
  </si>
  <si>
    <r>
      <t>R</t>
    </r>
    <r>
      <rPr>
        <vertAlign val="subscript"/>
        <sz val="10"/>
        <rFont val="Arial"/>
        <family val="2"/>
      </rPr>
      <t>n</t>
    </r>
  </si>
  <si>
    <t>nozzle projection outside the vessel wall</t>
  </si>
  <si>
    <r>
      <t>L</t>
    </r>
    <r>
      <rPr>
        <vertAlign val="subscript"/>
        <sz val="10"/>
        <rFont val="Arial"/>
        <family val="2"/>
      </rPr>
      <t>pr1</t>
    </r>
  </si>
  <si>
    <r>
      <t>8(t+t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</si>
  <si>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tL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max(1,λ/4)</t>
    </r>
  </si>
  <si>
    <t>λ</t>
  </si>
  <si>
    <r>
      <t>min(10, (2R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)/((D+t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2"/>
      </rPr>
      <t>)t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0.5</t>
    </r>
  </si>
  <si>
    <t>inside radius of nozzle</t>
  </si>
  <si>
    <t>effective vessel wall length</t>
  </si>
  <si>
    <t>effective nozzel wall length</t>
  </si>
  <si>
    <r>
      <t>for calculating L</t>
    </r>
    <r>
      <rPr>
        <vertAlign val="subscript"/>
        <sz val="10"/>
        <rFont val="Arial"/>
        <family val="2"/>
      </rPr>
      <t>H</t>
    </r>
  </si>
  <si>
    <r>
      <t>for calculating A</t>
    </r>
    <r>
      <rPr>
        <vertAlign val="subscript"/>
        <sz val="10"/>
        <rFont val="Arial"/>
        <family val="2"/>
      </rPr>
      <t>1</t>
    </r>
  </si>
  <si>
    <t>area contributed by vessel</t>
  </si>
  <si>
    <t>area contributed by nozzle</t>
  </si>
  <si>
    <t>area contributed by reinforcing pad</t>
  </si>
  <si>
    <t>width of reinforcing pad</t>
  </si>
  <si>
    <t>total area available</t>
  </si>
  <si>
    <t>effective pressure radius</t>
  </si>
  <si>
    <t>nozzle radius opening in vessel along long chord</t>
  </si>
  <si>
    <t>internal pressure force on nozzle</t>
  </si>
  <si>
    <t>internal pressure force on shell</t>
  </si>
  <si>
    <t>discontinuity force from internal pressure</t>
  </si>
  <si>
    <t>effective thickness used in calc. of pressure stress</t>
  </si>
  <si>
    <t>average primary membrane stress</t>
  </si>
  <si>
    <t>general primary membrane stress</t>
  </si>
  <si>
    <t>max. local primary membrane stress at nozzle intersection</t>
  </si>
  <si>
    <t>allowable local primary membrane stress</t>
  </si>
  <si>
    <r>
      <t>used in calculation of P</t>
    </r>
    <r>
      <rPr>
        <vertAlign val="subscript"/>
        <sz val="10"/>
        <rFont val="Arial"/>
        <family val="2"/>
      </rPr>
      <t>max1</t>
    </r>
  </si>
  <si>
    <r>
      <t>used in calculation of P</t>
    </r>
    <r>
      <rPr>
        <vertAlign val="subscript"/>
        <sz val="10"/>
        <rFont val="Arial"/>
        <family val="2"/>
      </rPr>
      <t>max</t>
    </r>
  </si>
  <si>
    <t>nozzle maximum allowable pressure</t>
  </si>
  <si>
    <r>
      <t>mm</t>
    </r>
    <r>
      <rPr>
        <vertAlign val="superscript"/>
        <sz val="10"/>
        <rFont val="Arial"/>
        <family val="2"/>
      </rPr>
      <t>2</t>
    </r>
  </si>
  <si>
    <t>kgf</t>
  </si>
  <si>
    <t xml:space="preserve">limit parallel to vessel wall </t>
  </si>
  <si>
    <t>limit normal to vessel wall</t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</si>
  <si>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</si>
  <si>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</si>
  <si>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R</t>
    </r>
  </si>
  <si>
    <t>from ug-37</t>
  </si>
  <si>
    <t>bending moment</t>
  </si>
  <si>
    <t>max bending stress</t>
  </si>
  <si>
    <t>M</t>
  </si>
  <si>
    <t>a</t>
  </si>
  <si>
    <r>
      <t>S</t>
    </r>
    <r>
      <rPr>
        <vertAlign val="subscript"/>
        <sz val="10"/>
        <rFont val="Arial"/>
        <family val="2"/>
      </rPr>
      <t>m</t>
    </r>
  </si>
  <si>
    <r>
      <t>S</t>
    </r>
    <r>
      <rPr>
        <vertAlign val="subscript"/>
        <sz val="10"/>
        <rFont val="Arial"/>
        <family val="2"/>
      </rPr>
      <t>b</t>
    </r>
  </si>
  <si>
    <r>
      <t>P(R(R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+t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+(R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t)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)+R(t</t>
    </r>
    <r>
      <rPr>
        <sz val="10"/>
        <rFont val="Arial"/>
        <family val="0"/>
      </rPr>
      <t>+(R</t>
    </r>
    <r>
      <rPr>
        <vertAlign val="subscript"/>
        <sz val="10"/>
        <rFont val="Arial"/>
        <family val="2"/>
      </rPr>
      <t>nm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))/A</t>
    </r>
    <r>
      <rPr>
        <vertAlign val="subscript"/>
        <sz val="10"/>
        <rFont val="Arial"/>
        <family val="2"/>
      </rPr>
      <t>s</t>
    </r>
  </si>
  <si>
    <r>
      <t>P(R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/6 +RR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e)</t>
    </r>
  </si>
  <si>
    <t>e+t/2</t>
  </si>
  <si>
    <t>Ma/I</t>
  </si>
  <si>
    <t>area contributed by shell</t>
  </si>
  <si>
    <t>same as in ug-37</t>
  </si>
  <si>
    <t>total area within limits</t>
  </si>
  <si>
    <r>
      <t>A</t>
    </r>
    <r>
      <rPr>
        <vertAlign val="subscript"/>
        <sz val="10"/>
        <rFont val="Arial"/>
        <family val="2"/>
      </rPr>
      <t>T,l</t>
    </r>
  </si>
  <si>
    <t>shaded area in fig 1-7-1</t>
  </si>
  <si>
    <r>
      <t>A</t>
    </r>
    <r>
      <rPr>
        <vertAlign val="subscript"/>
        <sz val="10"/>
        <rFont val="Arial"/>
        <family val="2"/>
      </rPr>
      <t>s</t>
    </r>
  </si>
  <si>
    <t>thickness of reinforcing pad</t>
  </si>
  <si>
    <t>mean radius of nozzle</t>
  </si>
  <si>
    <t>mean radius of shell</t>
  </si>
  <si>
    <r>
      <t>R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</si>
  <si>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nm</t>
    </r>
  </si>
  <si>
    <t>e</t>
  </si>
  <si>
    <t>I</t>
  </si>
  <si>
    <t>CALCULATION OF AREAS</t>
  </si>
  <si>
    <t>area of shell</t>
  </si>
  <si>
    <t>area of reinforcing pad</t>
  </si>
  <si>
    <t>area of nozzle</t>
  </si>
  <si>
    <r>
      <t>A</t>
    </r>
    <r>
      <rPr>
        <vertAlign val="subscript"/>
        <sz val="10"/>
        <rFont val="Arial"/>
        <family val="2"/>
      </rPr>
      <t>3</t>
    </r>
  </si>
  <si>
    <r>
      <t>t*max(16t,(R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t)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</t>
    </r>
  </si>
  <si>
    <t>distance between neutral axis &amp;shell midwell</t>
  </si>
  <si>
    <t>distance between neutral axis and shell bottom</t>
  </si>
  <si>
    <t>formula for calculating monemt of inertia about neutral axis</t>
  </si>
  <si>
    <t>moment of inertia</t>
  </si>
  <si>
    <t>formula stated below</t>
  </si>
  <si>
    <r>
      <t>mm</t>
    </r>
    <r>
      <rPr>
        <vertAlign val="superscript"/>
        <sz val="10"/>
        <rFont val="Arial"/>
        <family val="2"/>
      </rPr>
      <t>4</t>
    </r>
  </si>
  <si>
    <r>
      <t>kgf/cm</t>
    </r>
    <r>
      <rPr>
        <strike/>
        <vertAlign val="superscript"/>
        <sz val="10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</si>
  <si>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*min(16t,W,(R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t)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</t>
    </r>
  </si>
  <si>
    <t>max. membrane stress</t>
  </si>
  <si>
    <t>kgfcm</t>
  </si>
  <si>
    <t>allowable combined membrane and bending stress</t>
  </si>
  <si>
    <r>
      <t>S</t>
    </r>
    <r>
      <rPr>
        <vertAlign val="subscript"/>
        <sz val="10"/>
        <rFont val="Arial"/>
        <family val="2"/>
      </rPr>
      <t>m,allow</t>
    </r>
  </si>
  <si>
    <r>
      <t>S</t>
    </r>
    <r>
      <rPr>
        <vertAlign val="subscript"/>
        <sz val="10"/>
        <rFont val="Arial"/>
        <family val="2"/>
      </rPr>
      <t>m+b,allow</t>
    </r>
  </si>
  <si>
    <t>1.5*Sn</t>
  </si>
  <si>
    <t>combined membrane and bending stress</t>
  </si>
  <si>
    <r>
      <t>S</t>
    </r>
    <r>
      <rPr>
        <vertAlign val="subscript"/>
        <sz val="10"/>
        <rFont val="Arial"/>
        <family val="2"/>
      </rPr>
      <t>m+b</t>
    </r>
  </si>
  <si>
    <r>
      <t>S</t>
    </r>
    <r>
      <rPr>
        <vertAlign val="subscript"/>
        <sz val="10"/>
        <rFont val="Arial"/>
        <family val="2"/>
      </rPr>
      <t xml:space="preserve">m </t>
    </r>
    <r>
      <rPr>
        <sz val="10"/>
        <rFont val="Arial"/>
        <family val="2"/>
      </rPr>
      <t>+S</t>
    </r>
    <r>
      <rPr>
        <vertAlign val="subscript"/>
        <sz val="10"/>
        <rFont val="Arial"/>
        <family val="2"/>
      </rPr>
      <t>b</t>
    </r>
  </si>
  <si>
    <t>d'</t>
  </si>
  <si>
    <t xml:space="preserve"> nozzle wall thickness after corrosion</t>
  </si>
  <si>
    <r>
      <t>min nozzle thickness(t</t>
    </r>
    <r>
      <rPr>
        <vertAlign val="subscript"/>
        <sz val="10"/>
        <rFont val="Arial"/>
        <family val="2"/>
      </rPr>
      <t>ug45</t>
    </r>
    <r>
      <rPr>
        <sz val="10"/>
        <rFont val="Arial"/>
        <family val="2"/>
      </rPr>
      <t>)</t>
    </r>
  </si>
  <si>
    <r>
      <t>c.a.</t>
    </r>
    <r>
      <rPr>
        <vertAlign val="subscript"/>
        <sz val="10"/>
        <rFont val="Arial"/>
        <family val="2"/>
      </rPr>
      <t>,nozzle</t>
    </r>
  </si>
  <si>
    <r>
      <t>c.a.</t>
    </r>
    <r>
      <rPr>
        <vertAlign val="subscript"/>
        <sz val="10"/>
        <rFont val="Arial"/>
        <family val="2"/>
      </rPr>
      <t>,shell</t>
    </r>
  </si>
  <si>
    <r>
      <t>t</t>
    </r>
    <r>
      <rPr>
        <vertAlign val="subscript"/>
        <sz val="10"/>
        <rFont val="Arial"/>
        <family val="2"/>
      </rPr>
      <t>int</t>
    </r>
    <r>
      <rPr>
        <sz val="10"/>
        <rFont val="Arial"/>
        <family val="2"/>
      </rPr>
      <t>+c.a.</t>
    </r>
    <r>
      <rPr>
        <vertAlign val="subscript"/>
        <sz val="10"/>
        <rFont val="Arial"/>
        <family val="2"/>
      </rPr>
      <t>,nozzle</t>
    </r>
  </si>
  <si>
    <r>
      <t>t</t>
    </r>
    <r>
      <rPr>
        <vertAlign val="subscript"/>
        <sz val="10"/>
        <rFont val="Arial"/>
        <family val="2"/>
      </rPr>
      <t>ext</t>
    </r>
    <r>
      <rPr>
        <sz val="10"/>
        <rFont val="Arial"/>
        <family val="2"/>
      </rPr>
      <t>+c.a.</t>
    </r>
    <r>
      <rPr>
        <vertAlign val="subscript"/>
        <sz val="10"/>
        <rFont val="Arial"/>
        <family val="2"/>
      </rPr>
      <t>,nozzle</t>
    </r>
  </si>
  <si>
    <r>
      <t>from table +c.a.</t>
    </r>
    <r>
      <rPr>
        <vertAlign val="subscript"/>
        <sz val="10"/>
        <rFont val="Arial"/>
        <family val="2"/>
      </rPr>
      <t>,nozzle</t>
    </r>
  </si>
  <si>
    <r>
      <t>D/2+c.a</t>
    </r>
    <r>
      <rPr>
        <vertAlign val="subscript"/>
        <sz val="10"/>
        <rFont val="Arial"/>
        <family val="2"/>
      </rPr>
      <t>,shell</t>
    </r>
    <r>
      <rPr>
        <sz val="10"/>
        <rFont val="Arial"/>
        <family val="0"/>
      </rPr>
      <t>.</t>
    </r>
  </si>
  <si>
    <t>area required for reinforcement</t>
  </si>
  <si>
    <r>
      <t>0.6666666*A</t>
    </r>
    <r>
      <rPr>
        <vertAlign val="subscript"/>
        <sz val="10"/>
        <rFont val="Arial"/>
        <family val="2"/>
      </rPr>
      <t>T</t>
    </r>
  </si>
  <si>
    <r>
      <t>min(2.5*t,2.5t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</si>
  <si>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min(5f</t>
    </r>
    <r>
      <rPr>
        <vertAlign val="subscript"/>
        <sz val="10"/>
        <rFont val="Arial"/>
        <family val="2"/>
      </rPr>
      <t>r2</t>
    </r>
    <r>
      <rPr>
        <sz val="10"/>
        <rFont val="Arial"/>
        <family val="2"/>
      </rPr>
      <t>t(t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-t</t>
    </r>
    <r>
      <rPr>
        <vertAlign val="subscript"/>
        <sz val="10"/>
        <rFont val="Arial"/>
        <family val="2"/>
      </rPr>
      <t>r n</t>
    </r>
    <r>
      <rPr>
        <sz val="10"/>
        <rFont val="Arial"/>
        <family val="2"/>
      </rPr>
      <t>),2f</t>
    </r>
    <r>
      <rPr>
        <vertAlign val="subscript"/>
        <sz val="10"/>
        <rFont val="Arial"/>
        <family val="2"/>
      </rPr>
      <t>r2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-t</t>
    </r>
    <r>
      <rPr>
        <vertAlign val="subscript"/>
        <sz val="10"/>
        <rFont val="Arial"/>
        <family val="2"/>
      </rPr>
      <t>r n</t>
    </r>
    <r>
      <rPr>
        <sz val="10"/>
        <rFont val="Arial"/>
        <family val="2"/>
      </rPr>
      <t>)(2.5t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</si>
  <si>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2*max(0.75*d,R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+t+t</t>
    </r>
    <r>
      <rPr>
        <vertAlign val="subscript"/>
        <sz val="10"/>
        <rFont val="Arial"/>
        <family val="2"/>
      </rPr>
      <t>n)</t>
    </r>
  </si>
  <si>
    <r>
      <t>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-2*R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)*</t>
    </r>
    <r>
      <rPr>
        <sz val="10"/>
        <rFont val="Arial"/>
        <family val="0"/>
      </rPr>
      <t>[E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t-Ft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]-2t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(E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t-Ft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)(1-f</t>
    </r>
    <r>
      <rPr>
        <vertAlign val="subscript"/>
        <sz val="10"/>
        <rFont val="Arial"/>
        <family val="2"/>
      </rPr>
      <t>r1</t>
    </r>
    <r>
      <rPr>
        <sz val="10"/>
        <rFont val="Arial"/>
        <family val="0"/>
      </rPr>
      <t xml:space="preserve">) </t>
    </r>
  </si>
  <si>
    <r>
      <t>min((d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-d-2t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r4</t>
    </r>
    <r>
      <rPr>
        <sz val="10"/>
        <rFont val="Arial"/>
        <family val="2"/>
      </rPr>
      <t>,</t>
    </r>
    <r>
      <rPr>
        <sz val="10"/>
        <rFont val="Arial"/>
        <family val="0"/>
      </rPr>
      <t>(D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-d-2t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r4</t>
    </r>
    <r>
      <rPr>
        <sz val="10"/>
        <rFont val="Arial"/>
        <family val="2"/>
      </rPr>
      <t>)</t>
    </r>
  </si>
  <si>
    <r>
      <t>leg</t>
    </r>
    <r>
      <rPr>
        <vertAlign val="subscript"/>
        <sz val="10"/>
        <rFont val="Arial"/>
        <family val="2"/>
      </rPr>
      <t>1</t>
    </r>
  </si>
  <si>
    <r>
      <t>leg</t>
    </r>
    <r>
      <rPr>
        <vertAlign val="subscript"/>
        <sz val="10"/>
        <rFont val="Arial"/>
        <family val="2"/>
      </rPr>
      <t>2</t>
    </r>
  </si>
  <si>
    <r>
      <t>(min(D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,2*d,2*(R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+t))-d-2t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r4</t>
    </r>
  </si>
  <si>
    <t>is it split type padding</t>
  </si>
  <si>
    <r>
      <t>R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+ 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/2 </t>
    </r>
  </si>
  <si>
    <r>
      <t>R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 xml:space="preserve"> + t/2 </t>
    </r>
  </si>
  <si>
    <r>
      <t>t</t>
    </r>
    <r>
      <rPr>
        <vertAlign val="superscript"/>
        <sz val="10"/>
        <rFont val="Arial"/>
        <family val="2"/>
      </rPr>
      <t>'</t>
    </r>
  </si>
  <si>
    <r>
      <t>t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'</t>
    </r>
  </si>
  <si>
    <t>corrosion allowance of nozzle (internal only)</t>
  </si>
  <si>
    <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'-c.a.</t>
    </r>
    <r>
      <rPr>
        <vertAlign val="subscript"/>
        <sz val="10"/>
        <rFont val="Arial"/>
        <family val="2"/>
      </rPr>
      <t>,nozzle</t>
    </r>
  </si>
  <si>
    <t>hub height of integral nozzle</t>
  </si>
  <si>
    <t>height of beveled transition</t>
  </si>
  <si>
    <t>hub thickness of integral nozzle</t>
  </si>
  <si>
    <t>h</t>
  </si>
  <si>
    <t>L'</t>
  </si>
  <si>
    <t>X</t>
  </si>
  <si>
    <r>
      <t>(P(d'</t>
    </r>
    <r>
      <rPr>
        <sz val="10"/>
        <rFont val="Arial"/>
        <family val="2"/>
      </rPr>
      <t>)/(2(S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+(0.4*P)))+c.a.</t>
    </r>
    <r>
      <rPr>
        <vertAlign val="subscript"/>
        <sz val="10"/>
        <rFont val="Arial"/>
        <family val="2"/>
      </rPr>
      <t>,nozzle</t>
    </r>
  </si>
  <si>
    <t>weld leg between pad and shell</t>
  </si>
  <si>
    <t>allowable stress in reinforcing pad at given temp</t>
  </si>
  <si>
    <t>outside diameter of reinforcing pad</t>
  </si>
  <si>
    <t>Area available in pad</t>
  </si>
  <si>
    <t xml:space="preserve">area contributed by pad </t>
  </si>
  <si>
    <r>
      <t>A</t>
    </r>
    <r>
      <rPr>
        <vertAlign val="subscript"/>
        <sz val="10"/>
        <rFont val="Arial"/>
        <family val="2"/>
      </rPr>
      <t>r</t>
    </r>
  </si>
  <si>
    <r>
      <t>(leg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r1</t>
    </r>
  </si>
  <si>
    <r>
      <t>A</t>
    </r>
    <r>
      <rPr>
        <vertAlign val="subscript"/>
        <sz val="10"/>
        <rFont val="Arial"/>
        <family val="2"/>
      </rPr>
      <t>6</t>
    </r>
  </si>
  <si>
    <t>Area available in hub plus bevel</t>
  </si>
  <si>
    <t xml:space="preserve">Area available in hub </t>
  </si>
  <si>
    <t>Area available in bevel</t>
  </si>
  <si>
    <r>
      <t>2*max(d,R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+t)</t>
    </r>
  </si>
  <si>
    <r>
      <t>min(2.5t,2.5t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</si>
  <si>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limit parallel to vessel wall 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</si>
  <si>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limit normal to vessel wall (t</t>
    </r>
    <r>
      <rPr>
        <vertAlign val="subscript"/>
        <sz val="10"/>
        <rFont val="Arial"/>
        <family val="2"/>
      </rPr>
      <t>lnp</t>
    </r>
    <r>
      <rPr>
        <sz val="10"/>
        <rFont val="Arial"/>
        <family val="2"/>
      </rPr>
      <t>)</t>
    </r>
  </si>
  <si>
    <r>
      <t>2*min(h,t</t>
    </r>
    <r>
      <rPr>
        <vertAlign val="subscript"/>
        <sz val="10"/>
        <rFont val="Arial"/>
        <family val="2"/>
      </rPr>
      <t>lnp</t>
    </r>
    <r>
      <rPr>
        <sz val="10"/>
        <rFont val="Arial"/>
        <family val="0"/>
      </rPr>
      <t>,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pr1</t>
    </r>
    <r>
      <rPr>
        <sz val="10"/>
        <rFont val="Arial"/>
        <family val="2"/>
      </rPr>
      <t>)*(X-t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')*f</t>
    </r>
    <r>
      <rPr>
        <vertAlign val="subscript"/>
        <sz val="10"/>
        <rFont val="Arial"/>
        <family val="2"/>
      </rPr>
      <t>r2</t>
    </r>
  </si>
  <si>
    <r>
      <t>A</t>
    </r>
    <r>
      <rPr>
        <vertAlign val="subscript"/>
        <sz val="10"/>
        <rFont val="Arial"/>
        <family val="2"/>
      </rPr>
      <t>61</t>
    </r>
  </si>
  <si>
    <r>
      <t>A</t>
    </r>
    <r>
      <rPr>
        <vertAlign val="subscript"/>
        <sz val="10"/>
        <rFont val="Arial"/>
        <family val="2"/>
      </rPr>
      <t>62</t>
    </r>
  </si>
  <si>
    <r>
      <t>A</t>
    </r>
    <r>
      <rPr>
        <vertAlign val="subscript"/>
        <sz val="10"/>
        <rFont val="Arial"/>
        <family val="2"/>
      </rPr>
      <t>61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62</t>
    </r>
  </si>
  <si>
    <r>
      <t>max(t</t>
    </r>
    <r>
      <rPr>
        <vertAlign val="subscript"/>
        <sz val="10"/>
        <rFont val="Arial"/>
        <family val="2"/>
      </rPr>
      <t>lnp</t>
    </r>
    <r>
      <rPr>
        <sz val="10"/>
        <rFont val="Arial"/>
        <family val="2"/>
      </rPr>
      <t>-h,0)*((max(t</t>
    </r>
    <r>
      <rPr>
        <vertAlign val="subscript"/>
        <sz val="10"/>
        <rFont val="Arial"/>
        <family val="2"/>
      </rPr>
      <t>lnp</t>
    </r>
    <r>
      <rPr>
        <sz val="10"/>
        <rFont val="Arial"/>
        <family val="2"/>
      </rPr>
      <t>-h,0)/L')*(X-t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))+(X-t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-((max(t</t>
    </r>
    <r>
      <rPr>
        <vertAlign val="subscript"/>
        <sz val="10"/>
        <rFont val="Arial"/>
        <family val="2"/>
      </rPr>
      <t>lnp</t>
    </r>
    <r>
      <rPr>
        <sz val="10"/>
        <rFont val="Arial"/>
        <family val="2"/>
      </rPr>
      <t>-h,0)/L'))*(X-tn))*max(t</t>
    </r>
    <r>
      <rPr>
        <vertAlign val="subscript"/>
        <sz val="10"/>
        <rFont val="Arial"/>
        <family val="2"/>
      </rPr>
      <t>lnp</t>
    </r>
    <r>
      <rPr>
        <sz val="10"/>
        <rFont val="Arial"/>
        <family val="2"/>
      </rPr>
      <t>-h,0)*2</t>
    </r>
  </si>
  <si>
    <t>for calculating LH</t>
  </si>
  <si>
    <r>
      <t>L</t>
    </r>
    <r>
      <rPr>
        <vertAlign val="subscript"/>
        <sz val="10"/>
        <rFont val="Arial"/>
        <family val="2"/>
      </rPr>
      <t>H4</t>
    </r>
  </si>
  <si>
    <r>
      <t>if(h=0),min(L</t>
    </r>
    <r>
      <rPr>
        <vertAlign val="subscript"/>
        <sz val="10"/>
        <rFont val="Arial"/>
        <family val="2"/>
      </rPr>
      <t>H1</t>
    </r>
    <r>
      <rPr>
        <sz val="10"/>
        <rFont val="Arial"/>
        <family val="2"/>
      </rPr>
      <t>,L</t>
    </r>
    <r>
      <rPr>
        <vertAlign val="subscript"/>
        <sz val="10"/>
        <rFont val="Arial"/>
        <family val="2"/>
      </rPr>
      <t>H2</t>
    </r>
    <r>
      <rPr>
        <sz val="10"/>
        <rFont val="Arial"/>
        <family val="2"/>
      </rPr>
      <t>,L</t>
    </r>
    <r>
      <rPr>
        <vertAlign val="subscript"/>
        <sz val="10"/>
        <rFont val="Arial"/>
        <family val="2"/>
      </rPr>
      <t>H3</t>
    </r>
    <r>
      <rPr>
        <sz val="10"/>
        <rFont val="Arial"/>
        <family val="2"/>
      </rPr>
      <t>) else min(L</t>
    </r>
    <r>
      <rPr>
        <vertAlign val="subscript"/>
        <sz val="10"/>
        <rFont val="Arial"/>
        <family val="2"/>
      </rPr>
      <t>H1</t>
    </r>
    <r>
      <rPr>
        <sz val="10"/>
        <rFont val="Arial"/>
        <family val="2"/>
      </rPr>
      <t>,L</t>
    </r>
    <r>
      <rPr>
        <vertAlign val="subscript"/>
        <sz val="10"/>
        <rFont val="Arial"/>
        <family val="2"/>
      </rPr>
      <t>H2</t>
    </r>
    <r>
      <rPr>
        <sz val="10"/>
        <rFont val="Arial"/>
        <family val="2"/>
      </rPr>
      <t>,L</t>
    </r>
    <r>
      <rPr>
        <vertAlign val="subscript"/>
        <sz val="10"/>
        <rFont val="Arial"/>
        <family val="2"/>
      </rPr>
      <t>H4</t>
    </r>
    <r>
      <rPr>
        <sz val="10"/>
        <rFont val="Arial"/>
        <family val="2"/>
      </rPr>
      <t>)</t>
    </r>
  </si>
  <si>
    <t>area contributed by hub</t>
  </si>
  <si>
    <t>area contributed by bevel</t>
  </si>
  <si>
    <r>
      <t>A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41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42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61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62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</si>
  <si>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41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42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61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62</t>
    </r>
  </si>
  <si>
    <t>area of hub</t>
  </si>
  <si>
    <r>
      <t>A</t>
    </r>
    <r>
      <rPr>
        <vertAlign val="subscript"/>
        <sz val="10"/>
        <rFont val="Arial"/>
        <family val="2"/>
      </rPr>
      <t>4</t>
    </r>
  </si>
  <si>
    <t>area of bevel</t>
  </si>
  <si>
    <r>
      <t>where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=min(max(t+t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+(R</t>
    </r>
    <r>
      <rPr>
        <vertAlign val="subscript"/>
        <sz val="10"/>
        <rFont val="Arial"/>
        <family val="2"/>
      </rPr>
      <t>nm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,16t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),h) and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=min(L',max((t+t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+(R</t>
    </r>
    <r>
      <rPr>
        <vertAlign val="subscript"/>
        <sz val="10"/>
        <rFont val="Arial"/>
        <family val="2"/>
      </rPr>
      <t>nm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,16t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))-h)</t>
    </r>
  </si>
  <si>
    <r>
      <t>0.5*(X-tn')*k</t>
    </r>
    <r>
      <rPr>
        <vertAlign val="subscript"/>
        <sz val="10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</si>
  <si>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*min(L</t>
    </r>
    <r>
      <rPr>
        <vertAlign val="subscript"/>
        <sz val="10"/>
        <rFont val="Arial"/>
        <family val="2"/>
      </rPr>
      <t>pr1</t>
    </r>
    <r>
      <rPr>
        <sz val="10"/>
        <rFont val="Arial"/>
        <family val="2"/>
      </rPr>
      <t>+t,max(t+t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+(R</t>
    </r>
    <r>
      <rPr>
        <vertAlign val="subscript"/>
        <sz val="10"/>
        <rFont val="Arial"/>
        <family val="2"/>
      </rPr>
      <t>nm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,t+t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+16t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))</t>
    </r>
  </si>
  <si>
    <r>
      <t>(X-t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')*(k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+t</t>
    </r>
    <r>
      <rPr>
        <sz val="10"/>
        <rFont val="Arial"/>
        <family val="0"/>
      </rPr>
      <t>)</t>
    </r>
  </si>
  <si>
    <r>
      <t>0.5*(X-t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')*min(L',(t+t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+(R</t>
    </r>
    <r>
      <rPr>
        <vertAlign val="subscript"/>
        <sz val="10"/>
        <rFont val="Arial"/>
        <family val="2"/>
      </rPr>
      <t>nm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-h))</t>
    </r>
    <r>
      <rPr>
        <sz val="10"/>
        <rFont val="Arial"/>
        <family val="0"/>
      </rPr>
      <t>+(X-t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')*(t+min(t+t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+(R</t>
    </r>
    <r>
      <rPr>
        <vertAlign val="subscript"/>
        <sz val="10"/>
        <rFont val="Arial"/>
        <family val="2"/>
      </rPr>
      <t>nm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,h))</t>
    </r>
    <r>
      <rPr>
        <sz val="10"/>
        <rFont val="Arial"/>
        <family val="0"/>
      </rPr>
      <t>+t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(t+t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+(R</t>
    </r>
    <r>
      <rPr>
        <vertAlign val="subscript"/>
        <sz val="10"/>
        <rFont val="Arial"/>
        <family val="2"/>
      </rPr>
      <t>nm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n)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)+ t*(R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t)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+ 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(min(16t,W)</t>
    </r>
  </si>
  <si>
    <r>
      <t>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*(K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+t)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 +A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/36+A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*(a-(k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+t)/2)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+A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*(a-(k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+t+k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/2))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/12+A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/12+A3(max(t+t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+16t,t+t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+(R</t>
    </r>
    <r>
      <rPr>
        <vertAlign val="subscript"/>
        <sz val="10"/>
        <rFont val="Arial"/>
        <family val="2"/>
      </rPr>
      <t>nm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n)</t>
    </r>
    <r>
      <rPr>
        <vertAlign val="superscript"/>
        <sz val="10"/>
        <rFont val="Arial"/>
        <family val="2"/>
      </rPr>
      <t>0.5)2</t>
    </r>
    <r>
      <rPr>
        <sz val="10"/>
        <rFont val="Arial"/>
        <family val="2"/>
      </rPr>
      <t>/12 + 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2(</t>
    </r>
    <r>
      <rPr>
        <sz val="10"/>
        <rFont val="Arial"/>
        <family val="2"/>
      </rPr>
      <t>e-t-t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3((</t>
    </r>
    <r>
      <rPr>
        <sz val="10"/>
        <rFont val="Arial"/>
        <family val="2"/>
      </rPr>
      <t>max(t+t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+16t,t+t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+(R</t>
    </r>
    <r>
      <rPr>
        <vertAlign val="subscript"/>
        <sz val="10"/>
        <rFont val="Arial"/>
        <family val="2"/>
      </rPr>
      <t>nm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n)</t>
    </r>
    <r>
      <rPr>
        <vertAlign val="superscript"/>
        <sz val="10"/>
        <rFont val="Arial"/>
        <family val="2"/>
      </rPr>
      <t>0.5)</t>
    </r>
    <r>
      <rPr>
        <sz val="10"/>
        <rFont val="Arial"/>
        <family val="2"/>
      </rPr>
      <t>/2 -a)</t>
    </r>
    <r>
      <rPr>
        <vertAlign val="superscript"/>
        <sz val="10"/>
        <rFont val="Arial"/>
        <family val="2"/>
      </rPr>
      <t>2</t>
    </r>
  </si>
  <si>
    <t>Page No</t>
  </si>
  <si>
    <t xml:space="preserve">Doc. No. </t>
  </si>
  <si>
    <t>Revision</t>
  </si>
  <si>
    <t>Shell thickness provided</t>
  </si>
  <si>
    <t xml:space="preserve">Reqd. thickness of shell (corresponding to internal pressure) </t>
  </si>
  <si>
    <t xml:space="preserve">Reqd. thickness of shell (corresponding to external pressure) </t>
  </si>
  <si>
    <t>Nozzle O.D.</t>
  </si>
  <si>
    <t>Nozzle wall thickness provided</t>
  </si>
  <si>
    <t>Offset distance</t>
  </si>
  <si>
    <t>Off</t>
  </si>
  <si>
    <r>
      <t xml:space="preserve">CALCULATIONS BY ASME CODE SECTION-8 DIVISION </t>
    </r>
    <r>
      <rPr>
        <b/>
        <u val="single"/>
        <sz val="11"/>
        <rFont val="Bookman Old Style"/>
        <family val="1"/>
      </rPr>
      <t>I (</t>
    </r>
    <r>
      <rPr>
        <b/>
        <u val="single"/>
        <sz val="11"/>
        <rFont val="Arial"/>
        <family val="2"/>
      </rPr>
      <t>UG-37)</t>
    </r>
  </si>
  <si>
    <t>LIMITS OF REINFORCEMENT</t>
  </si>
  <si>
    <t>D1</t>
  </si>
  <si>
    <t>tlnp</t>
  </si>
  <si>
    <t>NO</t>
  </si>
  <si>
    <t>inside diameter of nozzle</t>
  </si>
  <si>
    <t>E1</t>
  </si>
  <si>
    <t>fr1,fr2</t>
  </si>
  <si>
    <t>Sn/Sv</t>
  </si>
  <si>
    <t>fr3</t>
  </si>
  <si>
    <t>min(Sn,Sp)/Sv</t>
  </si>
  <si>
    <t>fr4</t>
  </si>
  <si>
    <t>Sp/Sv</t>
  </si>
  <si>
    <t>if integral type(0.75+0.25cos2ǿ),else 1</t>
  </si>
  <si>
    <r>
      <t>(A</t>
    </r>
    <r>
      <rPr>
        <b/>
        <i/>
        <vertAlign val="subscript"/>
        <sz val="10"/>
        <rFont val="Arial"/>
        <family val="2"/>
      </rPr>
      <t>T,l</t>
    </r>
    <r>
      <rPr>
        <b/>
        <i/>
        <sz val="10"/>
        <rFont val="Arial"/>
        <family val="2"/>
      </rPr>
      <t xml:space="preserve"> &gt; A</t>
    </r>
    <r>
      <rPr>
        <b/>
        <i/>
        <vertAlign val="subscript"/>
        <sz val="10"/>
        <rFont val="Arial"/>
        <family val="2"/>
      </rPr>
      <t>R</t>
    </r>
    <r>
      <rPr>
        <b/>
        <i/>
        <sz val="10"/>
        <rFont val="Arial"/>
        <family val="2"/>
      </rPr>
      <t>)</t>
    </r>
  </si>
  <si>
    <t xml:space="preserve">check following condition on stresses only if nozzle I.D. is greater than 1000mm </t>
  </si>
  <si>
    <r>
      <t>s</t>
    </r>
    <r>
      <rPr>
        <b/>
        <sz val="10"/>
        <rFont val="Arial"/>
        <family val="2"/>
      </rPr>
      <t>ome additional conditions are imposed on ug-37 when we use appendix 1-7 but area</t>
    </r>
  </si>
  <si>
    <r>
      <t>(</t>
    </r>
    <r>
      <rPr>
        <b/>
        <i/>
        <sz val="10"/>
        <rFont val="Arial"/>
        <family val="2"/>
      </rPr>
      <t>S</t>
    </r>
    <r>
      <rPr>
        <b/>
        <i/>
        <vertAlign val="subscript"/>
        <sz val="10"/>
        <rFont val="Arial"/>
        <family val="2"/>
      </rPr>
      <t>m</t>
    </r>
    <r>
      <rPr>
        <b/>
        <i/>
        <sz val="10"/>
        <rFont val="Arial"/>
        <family val="2"/>
      </rPr>
      <t>&lt;S</t>
    </r>
    <r>
      <rPr>
        <b/>
        <i/>
        <vertAlign val="subscript"/>
        <sz val="10"/>
        <rFont val="Arial"/>
        <family val="2"/>
      </rPr>
      <t>m,allow</t>
    </r>
    <r>
      <rPr>
        <b/>
        <i/>
        <sz val="10"/>
        <rFont val="Arial"/>
        <family val="2"/>
      </rPr>
      <t xml:space="preserve"> and S</t>
    </r>
    <r>
      <rPr>
        <b/>
        <i/>
        <vertAlign val="subscript"/>
        <sz val="10"/>
        <rFont val="Arial"/>
        <family val="2"/>
      </rPr>
      <t>m+b</t>
    </r>
    <r>
      <rPr>
        <b/>
        <i/>
        <sz val="10"/>
        <rFont val="Arial"/>
        <family val="2"/>
      </rPr>
      <t>&lt;S</t>
    </r>
    <r>
      <rPr>
        <b/>
        <i/>
        <vertAlign val="subscript"/>
        <sz val="10"/>
        <rFont val="Arial"/>
        <family val="2"/>
      </rPr>
      <t>m+b,allow</t>
    </r>
    <r>
      <rPr>
        <b/>
        <i/>
        <sz val="10"/>
        <rFont val="Arial"/>
        <family val="2"/>
      </rPr>
      <t>)</t>
    </r>
  </si>
  <si>
    <t>allowable membrane stress</t>
  </si>
  <si>
    <r>
      <t>for calculating L</t>
    </r>
    <r>
      <rPr>
        <vertAlign val="subscript"/>
        <sz val="10"/>
        <color indexed="8"/>
        <rFont val="Arial"/>
        <family val="2"/>
      </rPr>
      <t>H</t>
    </r>
  </si>
  <si>
    <r>
      <t>L</t>
    </r>
    <r>
      <rPr>
        <vertAlign val="subscript"/>
        <sz val="10"/>
        <color indexed="8"/>
        <rFont val="Arial"/>
        <family val="2"/>
      </rPr>
      <t>H1</t>
    </r>
  </si>
  <si>
    <t>two third of area required</t>
  </si>
  <si>
    <t>area contributed by  welds</t>
  </si>
  <si>
    <t>area contributed by welds</t>
  </si>
  <si>
    <t>Area available in  welds</t>
  </si>
  <si>
    <t>set in nozzle with pad</t>
  </si>
  <si>
    <t>type of nozzle</t>
  </si>
  <si>
    <t>Nozzle wall thickness after corrosion</t>
  </si>
  <si>
    <t>Shell thickness after corrosion</t>
  </si>
  <si>
    <t>layout angle</t>
  </si>
  <si>
    <t>radian</t>
  </si>
  <si>
    <t>θ</t>
  </si>
  <si>
    <t>weld leg between nozzle and pad/shell</t>
  </si>
  <si>
    <r>
      <t>(d'-2t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)/2</t>
    </r>
  </si>
  <si>
    <r>
      <t xml:space="preserve"> 8t,10t,8(t+t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)(acc to diff condtns.)</t>
    </r>
  </si>
  <si>
    <r>
      <t>t+0.78(R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t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)0.5</t>
    </r>
  </si>
  <si>
    <r>
      <t>L</t>
    </r>
    <r>
      <rPr>
        <vertAlign val="subscript"/>
        <sz val="10"/>
        <rFont val="Arial"/>
        <family val="2"/>
      </rPr>
      <t>pr1</t>
    </r>
    <r>
      <rPr>
        <sz val="10"/>
        <rFont val="Arial"/>
        <family val="0"/>
      </rPr>
      <t xml:space="preserve"> + t </t>
    </r>
  </si>
  <si>
    <r>
      <t>0.5Leg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+ 0.5leg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</si>
  <si>
    <r>
      <t>if(L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&lt;h+t)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>else(X(h+t)+0.78(t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/(X-c.a.))(R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</t>
    </r>
  </si>
  <si>
    <r>
      <t>X(h+t)+0.78(t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/(X-c.a.))(R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0.5</t>
    </r>
  </si>
  <si>
    <t>set in nozzle without pad</t>
  </si>
  <si>
    <t>set on nozzle with pad</t>
  </si>
  <si>
    <t>set on nozzle without pad</t>
  </si>
  <si>
    <t>self reinforcing nozzle</t>
  </si>
  <si>
    <t>YES</t>
  </si>
  <si>
    <t>reqd. nozzle thk</t>
  </si>
  <si>
    <r>
      <t xml:space="preserve">  t</t>
    </r>
    <r>
      <rPr>
        <vertAlign val="subscript"/>
        <sz val="10"/>
        <rFont val="Arial"/>
        <family val="2"/>
      </rPr>
      <t>r n</t>
    </r>
  </si>
  <si>
    <t xml:space="preserve">Corrosion allowance of shell </t>
  </si>
  <si>
    <t>CALCULATION OF CERTAIN FACTORS</t>
  </si>
  <si>
    <t>AREA CALCULATION</t>
  </si>
  <si>
    <t>NOZZLE INPUTS</t>
  </si>
  <si>
    <t>SHELL INPUTS</t>
  </si>
  <si>
    <t>REINFORCING PAD INPUTS</t>
  </si>
  <si>
    <t>INTEGRAL NOZZLE INPUTS</t>
  </si>
  <si>
    <t>WELD LEGS INPUTS</t>
  </si>
  <si>
    <t>CERTAIN DERIVED PARAMETERS</t>
  </si>
  <si>
    <r>
      <t>1.5*S</t>
    </r>
    <r>
      <rPr>
        <vertAlign val="subscript"/>
        <sz val="10"/>
        <rFont val="Arial"/>
        <family val="2"/>
      </rPr>
      <t>n</t>
    </r>
  </si>
  <si>
    <t>ALLOWABLE STRESS</t>
  </si>
  <si>
    <t>FORCE CALCULATION</t>
  </si>
  <si>
    <t>CALCULATION OF SHADED AREAS FOR MEMBRANE STRESS</t>
  </si>
  <si>
    <t>CALCULATION OF AREAS FOR BENDING STRESS</t>
  </si>
  <si>
    <t>CALCULATION OF MOMENT OF INERTIA</t>
  </si>
  <si>
    <t>STRESS CALCULATION</t>
  </si>
  <si>
    <t>DESIGN CALCULATION FOR SET IN, SET ON NOZZLE WITH AND WITHOUT PAD AND SELF REINFORCED NOZZLE</t>
  </si>
  <si>
    <t>CERTAIN PARAMETERS</t>
  </si>
  <si>
    <r>
      <t>max(t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,.min(t</t>
    </r>
    <r>
      <rPr>
        <vertAlign val="subscript"/>
        <sz val="10"/>
        <rFont val="Arial"/>
        <family val="2"/>
      </rPr>
      <t>b3</t>
    </r>
    <r>
      <rPr>
        <sz val="10"/>
        <rFont val="Arial"/>
        <family val="0"/>
      </rPr>
      <t>,max(t</t>
    </r>
    <r>
      <rPr>
        <vertAlign val="subscript"/>
        <sz val="10"/>
        <rFont val="Arial"/>
        <family val="2"/>
      </rPr>
      <t>b2</t>
    </r>
    <r>
      <rPr>
        <sz val="10"/>
        <rFont val="Arial"/>
        <family val="0"/>
      </rPr>
      <t>,t</t>
    </r>
    <r>
      <rPr>
        <vertAlign val="subscript"/>
        <sz val="10"/>
        <rFont val="Arial"/>
        <family val="2"/>
      </rPr>
      <t>b1</t>
    </r>
    <r>
      <rPr>
        <sz val="10"/>
        <rFont val="Arial"/>
        <family val="0"/>
      </rPr>
      <t>)))</t>
    </r>
  </si>
  <si>
    <t>MIN NOZZLE THICKNESS (ACCORDING TO UG-45)</t>
  </si>
  <si>
    <r>
      <t>required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 reinforcement remains the same and thus we will directly use it</t>
    </r>
  </si>
  <si>
    <t xml:space="preserve">Reqd. thickness of shell (governing the case) </t>
  </si>
  <si>
    <r>
      <t>t</t>
    </r>
    <r>
      <rPr>
        <vertAlign val="subscript"/>
        <sz val="10"/>
        <rFont val="Arial"/>
        <family val="2"/>
      </rPr>
      <t>r,int</t>
    </r>
  </si>
  <si>
    <t>WITHOUT CORROSION ALLOWANCE</t>
  </si>
  <si>
    <t>Internal pressure</t>
  </si>
  <si>
    <t>Internal diameter of the shell</t>
  </si>
  <si>
    <t>Allowable stress in shell at given temp</t>
  </si>
  <si>
    <t>DESIGN CALCULATION FOR VARIBLE THICKNESS NOZZLE TO HEMI HEAD</t>
  </si>
  <si>
    <t>INTERNAL PRESSURE</t>
  </si>
  <si>
    <t>Kgf/cm2</t>
  </si>
  <si>
    <t>JOINT EFFICIENCY</t>
  </si>
  <si>
    <t>E</t>
  </si>
  <si>
    <t>INSIDE DIA OF SHELL</t>
  </si>
  <si>
    <t>Di</t>
  </si>
  <si>
    <t>OUTSIDE DIA OF NOZZLE</t>
  </si>
  <si>
    <t>Do</t>
  </si>
  <si>
    <t>INSIDE RADIUS OF NOZZLE</t>
  </si>
  <si>
    <t>Rn</t>
  </si>
  <si>
    <t>INSIDE DIA OF NOZZLE</t>
  </si>
  <si>
    <t>HEAD THICKNESS</t>
  </si>
  <si>
    <t>NOZZLE THICKNESS</t>
  </si>
  <si>
    <t>tn2</t>
  </si>
  <si>
    <t xml:space="preserve">HUB THICKNESS </t>
  </si>
  <si>
    <t>tn</t>
  </si>
  <si>
    <t xml:space="preserve">HUB HEIGHT </t>
  </si>
  <si>
    <t>Lx3</t>
  </si>
  <si>
    <t>CORROSION ALLOWANCE</t>
  </si>
  <si>
    <t>C</t>
  </si>
  <si>
    <t>SHELL ALLOWBLE</t>
  </si>
  <si>
    <t>S</t>
  </si>
  <si>
    <t>NOZZLEALLOWBLE</t>
  </si>
  <si>
    <t>SN</t>
  </si>
  <si>
    <t>OUTSIDE NOZZLE FILLET WELD</t>
  </si>
  <si>
    <t>Leg</t>
  </si>
  <si>
    <t>BEVEL HEIGHT</t>
  </si>
  <si>
    <t>Lx4-Lx3</t>
  </si>
  <si>
    <t>GIVEN PERPENDICULAR LIMIT OF REINFORCEMENT</t>
  </si>
  <si>
    <t>Lpr1</t>
  </si>
  <si>
    <t>COMPUTED MINIMUM REQUIRED THICKNESS</t>
  </si>
  <si>
    <r>
      <t>0.5*D*</t>
    </r>
    <r>
      <rPr>
        <b/>
        <sz val="11"/>
        <color indexed="18"/>
        <rFont val="Calibri"/>
        <family val="2"/>
      </rPr>
      <t>(</t>
    </r>
    <r>
      <rPr>
        <b/>
        <sz val="11"/>
        <color indexed="8"/>
        <rFont val="Calibri"/>
        <family val="2"/>
      </rPr>
      <t>EXP</t>
    </r>
    <r>
      <rPr>
        <b/>
        <sz val="11"/>
        <color indexed="10"/>
        <rFont val="Calibri"/>
        <family val="2"/>
      </rPr>
      <t>(</t>
    </r>
    <r>
      <rPr>
        <b/>
        <sz val="11"/>
        <color indexed="8"/>
        <rFont val="Calibri"/>
        <family val="2"/>
      </rPr>
      <t>P/</t>
    </r>
    <r>
      <rPr>
        <b/>
        <sz val="11"/>
        <color indexed="16"/>
        <rFont val="Calibri"/>
        <family val="2"/>
      </rPr>
      <t>(</t>
    </r>
    <r>
      <rPr>
        <b/>
        <sz val="11"/>
        <color indexed="8"/>
        <rFont val="Calibri"/>
        <family val="2"/>
      </rPr>
      <t>S*E</t>
    </r>
    <r>
      <rPr>
        <b/>
        <sz val="11"/>
        <color indexed="16"/>
        <rFont val="Calibri"/>
        <family val="2"/>
      </rPr>
      <t>)</t>
    </r>
    <r>
      <rPr>
        <b/>
        <sz val="11"/>
        <color indexed="10"/>
        <rFont val="Calibri"/>
        <family val="2"/>
      </rPr>
      <t>)</t>
    </r>
    <r>
      <rPr>
        <b/>
        <sz val="11"/>
        <color indexed="8"/>
        <rFont val="Calibri"/>
        <family val="2"/>
      </rPr>
      <t>-1</t>
    </r>
    <r>
      <rPr>
        <b/>
        <sz val="11"/>
        <color indexed="18"/>
        <rFont val="Calibri"/>
        <family val="2"/>
      </rPr>
      <t>)</t>
    </r>
    <r>
      <rPr>
        <b/>
        <sz val="11"/>
        <color indexed="8"/>
        <rFont val="Calibri"/>
        <family val="2"/>
      </rPr>
      <t>+C</t>
    </r>
  </si>
  <si>
    <t>DO</t>
  </si>
  <si>
    <t>THK.</t>
  </si>
  <si>
    <t>THIS IS MINIMUM REQUIRED THICKNESS OF NOZZLE AS PER TABLE 4.5.2 . BUT WE HAVE TO CHECK MINIMUM THICKNESS OF NOZZLE BY INTERNAL PRESSURE &amp; EXTERNAL PRESSURE CALCULATION ALSO</t>
  </si>
  <si>
    <t>HENCE MIN REQIRED THK OF NOZZLE</t>
  </si>
  <si>
    <t>MAX(tnX,tnY)</t>
  </si>
  <si>
    <t>THICKNESS OF NOZZLE IS ADEQUATE</t>
  </si>
  <si>
    <t>THICKNESS OF NOZZLE IS NOT ADEQUATE</t>
  </si>
  <si>
    <t>NOZZLE MATERIAL FACTOR</t>
  </si>
  <si>
    <t>frn</t>
  </si>
  <si>
    <t>MIN(Sn/S,1)</t>
  </si>
  <si>
    <t>EFFECTIVE HUB THICKNESS</t>
  </si>
  <si>
    <t>tneff</t>
  </si>
  <si>
    <t>tn-c</t>
  </si>
  <si>
    <t>EFFECTIVE NOZZLE THICKNESS</t>
  </si>
  <si>
    <t>tn2eff</t>
  </si>
  <si>
    <t>tn2-c</t>
  </si>
  <si>
    <t>SHELL DIA TO THICKNESS RATIO</t>
  </si>
  <si>
    <t>(DI+2C)/t</t>
  </si>
  <si>
    <t>EFFECTIVE RADIUS OF SHELL</t>
  </si>
  <si>
    <t>Reff</t>
  </si>
  <si>
    <t>PARALLEL LIMIT OF REINFORCEMENT</t>
  </si>
  <si>
    <t xml:space="preserve">EFFECTIVE LENGTH OF VESSEL WALL                                             </t>
  </si>
  <si>
    <t>LR</t>
  </si>
  <si>
    <t>MIN(SQRT(Reff x t),2 x Rn)</t>
  </si>
  <si>
    <t>PERPENDICULAR LIMIT OF REINFORCEMENT</t>
  </si>
  <si>
    <t>FEA DERIVED FACTOR TO MODIFY NOZZLE LENGTH</t>
  </si>
  <si>
    <t>Cn</t>
  </si>
  <si>
    <t>MIN((t/tn)^0.35,1)</t>
  </si>
  <si>
    <t>NOZZLE ATTACHMENT FACTOR</t>
  </si>
  <si>
    <t>Fp</t>
  </si>
  <si>
    <t>LH1 ( Fp x SQRT(Rn,tn) )</t>
  </si>
  <si>
    <t>LH1</t>
  </si>
  <si>
    <t>LH2 (Equal to Lpr1)</t>
  </si>
  <si>
    <t>LH2</t>
  </si>
  <si>
    <t>EFFECTIVE NOZZLE WALL LENGTH OUTSIDE THE VESSEL</t>
  </si>
  <si>
    <t>LH</t>
  </si>
  <si>
    <t>MIN(LH1,LH2) + t</t>
  </si>
  <si>
    <t>NON LINERATITY PARAMETER</t>
  </si>
  <si>
    <t>AREA PROVIDED BY VESSEL WALL</t>
  </si>
  <si>
    <t>A1</t>
  </si>
  <si>
    <t>cm2</t>
  </si>
  <si>
    <t>t x LR x max(λ/5^0.85),1)</t>
  </si>
  <si>
    <t>A2 (IF PERPENDICULAR LIMIT IF LESS THAN HUB HEIGHT)</t>
  </si>
  <si>
    <t>A2</t>
  </si>
  <si>
    <r>
      <t>cm</t>
    </r>
    <r>
      <rPr>
        <vertAlign val="superscript"/>
        <sz val="11"/>
        <color indexed="8"/>
        <rFont val="Calibri"/>
        <family val="2"/>
      </rPr>
      <t>2</t>
    </r>
  </si>
  <si>
    <t>A2a ( REINFORCEMENT BY HUB)</t>
  </si>
  <si>
    <t>A2a</t>
  </si>
  <si>
    <t>A2b ( REINFORCEMENT BY BEVEL)</t>
  </si>
  <si>
    <t>A2b</t>
  </si>
  <si>
    <r>
      <t>cm</t>
    </r>
    <r>
      <rPr>
        <vertAlign val="superscript"/>
        <sz val="11"/>
        <color indexed="8"/>
        <rFont val="Calibri"/>
        <family val="2"/>
      </rPr>
      <t>1</t>
    </r>
  </si>
  <si>
    <t>A2c ( REINFORCEMENT BY BEVEL+ NOZZLE WALL)</t>
  </si>
  <si>
    <t>A2C</t>
  </si>
  <si>
    <r>
      <t>cm</t>
    </r>
    <r>
      <rPr>
        <vertAlign val="superscript"/>
        <sz val="11"/>
        <color indexed="8"/>
        <rFont val="Calibri"/>
        <family val="2"/>
      </rPr>
      <t>2</t>
    </r>
  </si>
  <si>
    <t>TOTAL AREA PROVIDED BY NOZZLE</t>
  </si>
  <si>
    <t>AREA PROVIDE BY NOZZLE-SHELL FILLET WELD</t>
  </si>
  <si>
    <t>A4</t>
  </si>
  <si>
    <t>TOTAL AREA</t>
  </si>
  <si>
    <t>At</t>
  </si>
  <si>
    <r>
      <t>cm</t>
    </r>
    <r>
      <rPr>
        <b/>
        <vertAlign val="superscript"/>
        <sz val="11"/>
        <color indexed="8"/>
        <rFont val="Calibri"/>
        <family val="2"/>
      </rPr>
      <t>2</t>
    </r>
  </si>
  <si>
    <t>AREA REINFORCEMENT &amp; MAWP CALCULATION</t>
  </si>
  <si>
    <t>NOZZLE RADIUS FOR FORCE CALCULATION</t>
  </si>
  <si>
    <t>Rxn</t>
  </si>
  <si>
    <t>tn/ In(1+tn/Rn)</t>
  </si>
  <si>
    <t>SHELL RADIUS FOR FORCE CALCULATION</t>
  </si>
  <si>
    <t>Rxs</t>
  </si>
  <si>
    <t>teff/ In(1+teff/Reff)</t>
  </si>
  <si>
    <t>ALLOWABLE LOCAL PRIMARY MEMBRANE STRESS</t>
  </si>
  <si>
    <t>Sallow</t>
  </si>
  <si>
    <t>1.5 x S x E</t>
  </si>
  <si>
    <t>FORCE ACTING ON THE NOZZLE</t>
  </si>
  <si>
    <t>fn</t>
  </si>
  <si>
    <t xml:space="preserve">P x Rxn x LH </t>
  </si>
  <si>
    <t>FORCE ACTING ON THE SHELL</t>
  </si>
  <si>
    <t>fs</t>
  </si>
  <si>
    <t>P x Rxs (LR + tn)</t>
  </si>
  <si>
    <t>DISCONTINUITY FORCE FROM INTERNAL PRESSURE</t>
  </si>
  <si>
    <t>fy</t>
  </si>
  <si>
    <t>P x Rxs x Rnc/2</t>
  </si>
  <si>
    <t>AREA RESISTING INTERNAL PRESSURE</t>
  </si>
  <si>
    <t>Ap</t>
  </si>
  <si>
    <t>( fs + fy + fn )/ P</t>
  </si>
  <si>
    <t>MAXIMUM ALLOWABLE WORKING PRESSURE CANDIDATE 1</t>
  </si>
  <si>
    <t>Pmax1</t>
  </si>
  <si>
    <t>Sallow/ ( 2 x Ap/At - Rxs/2 X teff )</t>
  </si>
  <si>
    <t>2 X S/ (t / Rxs)</t>
  </si>
  <si>
    <t xml:space="preserve">MAXIMUM ALLOWABLE WORKING PRESSURE CANDIDATE </t>
  </si>
  <si>
    <t>MIN(Pmax1,Pmax2)</t>
  </si>
  <si>
    <t>AVERAGE PRIMARY MEMBRANE STRESS</t>
  </si>
  <si>
    <t>σavg</t>
  </si>
  <si>
    <t>( fs + fy + fn )/ At</t>
  </si>
  <si>
    <t>GENERAL PRIMARY MEMBRANE STRESS</t>
  </si>
  <si>
    <t>σcirc</t>
  </si>
  <si>
    <t>P x Rxs / (2 X teff)</t>
  </si>
  <si>
    <t>LOCAL PRIMARY MEMBRANE STRESS</t>
  </si>
  <si>
    <t>PL</t>
  </si>
  <si>
    <t>MAX(2 x σavg -σcirc , σcirc)</t>
  </si>
  <si>
    <t>SUMMARY OS STRESS RESULT</t>
  </si>
  <si>
    <t>ALLOWED LOCAL PRIMARY MEMBRANE STRESS</t>
  </si>
  <si>
    <t>STRENGTH OF NOZZLE ATTACHMENT WELDS</t>
  </si>
  <si>
    <t>DICONTINUITY FORCE FACTOR</t>
  </si>
  <si>
    <t>Ky</t>
  </si>
  <si>
    <t>(Rn+tn) / Rnc</t>
  </si>
  <si>
    <t>WELD LENGTH OF NOZZLE</t>
  </si>
  <si>
    <r>
      <t>L</t>
    </r>
    <r>
      <rPr>
        <vertAlign val="subscript"/>
        <sz val="14"/>
        <color indexed="8"/>
        <rFont val="Calibri"/>
        <family val="2"/>
      </rPr>
      <t>ζ</t>
    </r>
  </si>
  <si>
    <t>π/2 x (Rn/tn)</t>
  </si>
  <si>
    <t>WELD THROAT DIMENSION</t>
  </si>
  <si>
    <t>WELD LOAD VALUE</t>
  </si>
  <si>
    <t>fwelds</t>
  </si>
  <si>
    <t>MIN(fy x ky , 1.5 x Sn x A2) , π x P x Rn^2 x ky^2)</t>
  </si>
  <si>
    <t>WELD STRESS VALUE</t>
  </si>
  <si>
    <t>ζ</t>
  </si>
  <si>
    <t>PREPARED BY</t>
  </si>
  <si>
    <t>VERIFIED BY</t>
  </si>
  <si>
    <t>DATE</t>
  </si>
  <si>
    <t>reqd. nozzle thickness(corresponding to external pressure)</t>
  </si>
  <si>
    <r>
      <t>t</t>
    </r>
    <r>
      <rPr>
        <vertAlign val="subscript"/>
        <sz val="10"/>
        <rFont val="Arial"/>
        <family val="2"/>
      </rPr>
      <t>r n,ext</t>
    </r>
  </si>
  <si>
    <r>
      <t xml:space="preserve"> </t>
    </r>
    <r>
      <rPr>
        <b/>
        <sz val="10"/>
        <rFont val="Arial"/>
        <family val="2"/>
      </rPr>
      <t>and 3.4 (Rt)</t>
    </r>
    <r>
      <rPr>
        <b/>
        <vertAlign val="superscript"/>
        <sz val="10"/>
        <rFont val="Arial"/>
        <family val="2"/>
      </rPr>
      <t>0.5</t>
    </r>
    <r>
      <rPr>
        <b/>
        <sz val="10"/>
        <rFont val="Arial"/>
        <family val="2"/>
      </rPr>
      <t xml:space="preserve"> and and vessel I.D. is greater than 1500mm </t>
    </r>
  </si>
  <si>
    <t>VISIT</t>
  </si>
  <si>
    <t>pvtools.weebly.com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</si>
</sst>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trike/>
      <vertAlign val="superscript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name val="Bookman Old Style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vertAlign val="sub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1"/>
      <color indexed="16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bscript"/>
      <sz val="14"/>
      <color indexed="8"/>
      <name val="Calibri"/>
      <family val="2"/>
    </font>
    <font>
      <b/>
      <vertAlign val="superscript"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24"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9" fillId="33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5" xfId="0" applyFill="1" applyBorder="1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24" fillId="0" borderId="19" xfId="0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59" fillId="0" borderId="26" xfId="52" applyBorder="1" applyAlignment="1">
      <alignment horizontal="center" vertical="center"/>
    </xf>
    <xf numFmtId="0" fontId="59" fillId="0" borderId="28" xfId="52" applyBorder="1" applyAlignment="1">
      <alignment horizontal="center" vertical="center"/>
    </xf>
    <xf numFmtId="0" fontId="59" fillId="0" borderId="29" xfId="52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6" fillId="35" borderId="16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2" fillId="36" borderId="30" xfId="0" applyFont="1" applyFill="1" applyBorder="1" applyAlignment="1">
      <alignment horizontal="left"/>
    </xf>
    <xf numFmtId="0" fontId="12" fillId="36" borderId="31" xfId="0" applyFont="1" applyFill="1" applyBorder="1" applyAlignment="1">
      <alignment horizontal="left"/>
    </xf>
    <xf numFmtId="0" fontId="12" fillId="36" borderId="11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2" fillId="36" borderId="32" xfId="0" applyFont="1" applyFill="1" applyBorder="1" applyAlignment="1">
      <alignment horizontal="left"/>
    </xf>
    <xf numFmtId="0" fontId="12" fillId="36" borderId="33" xfId="0" applyFont="1" applyFill="1" applyBorder="1" applyAlignment="1">
      <alignment horizontal="left"/>
    </xf>
    <xf numFmtId="0" fontId="12" fillId="36" borderId="34" xfId="0" applyFont="1" applyFill="1" applyBorder="1" applyAlignment="1">
      <alignment horizontal="left"/>
    </xf>
    <xf numFmtId="0" fontId="12" fillId="36" borderId="3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4" fillId="35" borderId="32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left" vertical="center"/>
    </xf>
    <xf numFmtId="0" fontId="12" fillId="36" borderId="34" xfId="0" applyFont="1" applyFill="1" applyBorder="1" applyAlignment="1">
      <alignment horizontal="left" vertical="center"/>
    </xf>
    <xf numFmtId="0" fontId="12" fillId="36" borderId="35" xfId="0" applyFont="1" applyFill="1" applyBorder="1" applyAlignment="1">
      <alignment horizontal="left" vertical="center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2" fillId="36" borderId="53" xfId="0" applyFont="1" applyFill="1" applyBorder="1" applyAlignment="1">
      <alignment horizontal="left" vertical="center"/>
    </xf>
    <xf numFmtId="0" fontId="0" fillId="36" borderId="54" xfId="0" applyFill="1" applyBorder="1" applyAlignment="1">
      <alignment horizontal="left" vertical="center"/>
    </xf>
    <xf numFmtId="0" fontId="0" fillId="36" borderId="55" xfId="0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0" fillId="0" borderId="16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33" borderId="25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3" borderId="25" xfId="0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left" vertical="center"/>
    </xf>
    <xf numFmtId="0" fontId="0" fillId="36" borderId="31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0" fillId="0" borderId="5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60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7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36" xfId="0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31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33" borderId="14" xfId="0" applyFill="1" applyBorder="1" applyAlignment="1">
      <alignment horizontal="center"/>
    </xf>
    <xf numFmtId="0" fontId="0" fillId="33" borderId="58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0" xfId="0" applyFont="1" applyFill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6" borderId="15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3" fillId="36" borderId="13" xfId="0" applyFont="1" applyFill="1" applyBorder="1" applyAlignment="1">
      <alignment horizontal="left"/>
    </xf>
    <xf numFmtId="0" fontId="13" fillId="36" borderId="14" xfId="0" applyFont="1" applyFill="1" applyBorder="1" applyAlignment="1">
      <alignment horizontal="left"/>
    </xf>
    <xf numFmtId="0" fontId="13" fillId="36" borderId="15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36" borderId="12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5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left" vertical="center"/>
    </xf>
    <xf numFmtId="0" fontId="13" fillId="36" borderId="14" xfId="0" applyFont="1" applyFill="1" applyBorder="1" applyAlignment="1">
      <alignment horizontal="left" vertical="center"/>
    </xf>
    <xf numFmtId="0" fontId="13" fillId="36" borderId="15" xfId="0" applyFont="1" applyFill="1" applyBorder="1" applyAlignment="1">
      <alignment horizontal="left" vertical="center"/>
    </xf>
    <xf numFmtId="0" fontId="12" fillId="36" borderId="18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/>
    </xf>
    <xf numFmtId="0" fontId="12" fillId="36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25" fillId="38" borderId="13" xfId="0" applyFont="1" applyFill="1" applyBorder="1" applyAlignment="1">
      <alignment horizontal="left"/>
    </xf>
    <xf numFmtId="0" fontId="25" fillId="38" borderId="14" xfId="0" applyFont="1" applyFill="1" applyBorder="1" applyAlignment="1">
      <alignment horizontal="left"/>
    </xf>
    <xf numFmtId="0" fontId="25" fillId="38" borderId="15" xfId="0" applyFont="1" applyFill="1" applyBorder="1" applyAlignment="1">
      <alignment horizontal="left"/>
    </xf>
    <xf numFmtId="0" fontId="24" fillId="0" borderId="16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4" fillId="0" borderId="1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4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24" fillId="0" borderId="47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5" fillId="38" borderId="47" xfId="0" applyFont="1" applyFill="1" applyBorder="1" applyAlignment="1">
      <alignment horizontal="left"/>
    </xf>
    <xf numFmtId="0" fontId="25" fillId="38" borderId="19" xfId="0" applyFont="1" applyFill="1" applyBorder="1" applyAlignment="1">
      <alignment horizontal="left"/>
    </xf>
    <xf numFmtId="0" fontId="25" fillId="38" borderId="20" xfId="0" applyFont="1" applyFill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9" xfId="0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5" fillId="38" borderId="46" xfId="0" applyFont="1" applyFill="1" applyBorder="1" applyAlignment="1">
      <alignment horizontal="left"/>
    </xf>
    <xf numFmtId="0" fontId="25" fillId="38" borderId="45" xfId="0" applyFont="1" applyFill="1" applyBorder="1" applyAlignment="1">
      <alignment horizontal="left"/>
    </xf>
    <xf numFmtId="0" fontId="25" fillId="38" borderId="68" xfId="0" applyFont="1" applyFill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29" fillId="0" borderId="5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5" fillId="38" borderId="69" xfId="0" applyFont="1" applyFill="1" applyBorder="1" applyAlignment="1">
      <alignment horizontal="left"/>
    </xf>
    <xf numFmtId="0" fontId="25" fillId="38" borderId="64" xfId="0" applyFont="1" applyFill="1" applyBorder="1" applyAlignment="1">
      <alignment horizontal="left"/>
    </xf>
    <xf numFmtId="0" fontId="25" fillId="38" borderId="38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6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47625</xdr:rowOff>
    </xdr:from>
    <xdr:to>
      <xdr:col>8</xdr:col>
      <xdr:colOff>381000</xdr:colOff>
      <xdr:row>22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0525"/>
          <a:ext cx="51816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57150</xdr:rowOff>
    </xdr:from>
    <xdr:to>
      <xdr:col>8</xdr:col>
      <xdr:colOff>561975</xdr:colOff>
      <xdr:row>26</xdr:row>
      <xdr:rowOff>123825</xdr:rowOff>
    </xdr:to>
    <xdr:pic>
      <xdr:nvPicPr>
        <xdr:cNvPr id="1" name="Picture 2" descr="nozz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54387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9525</xdr:rowOff>
    </xdr:from>
    <xdr:to>
      <xdr:col>8</xdr:col>
      <xdr:colOff>590550</xdr:colOff>
      <xdr:row>85</xdr:row>
      <xdr:rowOff>0</xdr:rowOff>
    </xdr:to>
    <xdr:pic>
      <xdr:nvPicPr>
        <xdr:cNvPr id="1" name="Picture 4" descr="nozzl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15775"/>
          <a:ext cx="54673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8</xdr:col>
      <xdr:colOff>552450</xdr:colOff>
      <xdr:row>102</xdr:row>
      <xdr:rowOff>76200</xdr:rowOff>
    </xdr:to>
    <xdr:pic>
      <xdr:nvPicPr>
        <xdr:cNvPr id="2" name="Picture 5" descr="nozzle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44750"/>
          <a:ext cx="54292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24</xdr:row>
      <xdr:rowOff>38100</xdr:rowOff>
    </xdr:from>
    <xdr:to>
      <xdr:col>9</xdr:col>
      <xdr:colOff>0</xdr:colOff>
      <xdr:row>47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990975"/>
          <a:ext cx="432435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vtools.weebly.com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2" max="12" width="9.7109375" style="0" customWidth="1"/>
  </cols>
  <sheetData>
    <row r="1" spans="6:9" ht="13.5" thickBot="1">
      <c r="F1" s="78" t="s">
        <v>454</v>
      </c>
      <c r="G1" s="84" t="s">
        <v>455</v>
      </c>
      <c r="H1" s="85"/>
      <c r="I1" s="86"/>
    </row>
    <row r="2" spans="1:9" ht="12.75">
      <c r="A2" s="127"/>
      <c r="B2" s="130" t="s">
        <v>293</v>
      </c>
      <c r="C2" s="131"/>
      <c r="D2" s="131"/>
      <c r="E2" s="131"/>
      <c r="F2" s="131"/>
      <c r="G2" s="132"/>
      <c r="H2" s="126" t="s">
        <v>220</v>
      </c>
      <c r="I2" s="114"/>
    </row>
    <row r="3" spans="1:18" ht="12.75">
      <c r="A3" s="128"/>
      <c r="B3" s="133"/>
      <c r="C3" s="134"/>
      <c r="D3" s="134"/>
      <c r="E3" s="134"/>
      <c r="F3" s="134"/>
      <c r="G3" s="135"/>
      <c r="H3" s="122"/>
      <c r="I3" s="115"/>
      <c r="R3" s="42"/>
    </row>
    <row r="4" spans="1:9" ht="12.75">
      <c r="A4" s="128"/>
      <c r="B4" s="116" t="s">
        <v>221</v>
      </c>
      <c r="C4" s="117"/>
      <c r="D4" s="117"/>
      <c r="E4" s="117"/>
      <c r="F4" s="117"/>
      <c r="G4" s="118"/>
      <c r="H4" s="122" t="s">
        <v>222</v>
      </c>
      <c r="I4" s="124"/>
    </row>
    <row r="5" spans="1:12" ht="12.75">
      <c r="A5" s="129"/>
      <c r="B5" s="119"/>
      <c r="C5" s="120"/>
      <c r="D5" s="120"/>
      <c r="E5" s="120"/>
      <c r="F5" s="120"/>
      <c r="G5" s="121"/>
      <c r="H5" s="123"/>
      <c r="I5" s="125"/>
      <c r="J5" s="13"/>
      <c r="K5" s="13"/>
      <c r="L5" s="13"/>
    </row>
    <row r="6" spans="1:12" ht="13.5" thickBot="1">
      <c r="A6" s="136" t="s">
        <v>281</v>
      </c>
      <c r="B6" s="137"/>
      <c r="C6" s="137"/>
      <c r="D6" s="137"/>
      <c r="E6" s="137"/>
      <c r="F6" s="137"/>
      <c r="G6" s="137"/>
      <c r="H6" s="137"/>
      <c r="I6" s="138"/>
      <c r="J6" s="13"/>
      <c r="K6" s="13"/>
      <c r="L6" s="13"/>
    </row>
    <row r="7" spans="1:14" ht="12.75">
      <c r="A7" s="98" t="s">
        <v>301</v>
      </c>
      <c r="B7" s="98"/>
      <c r="C7" s="98"/>
      <c r="D7" s="98"/>
      <c r="E7" s="98"/>
      <c r="F7" s="98"/>
      <c r="G7" s="37" t="s">
        <v>19</v>
      </c>
      <c r="H7" s="37" t="s">
        <v>13</v>
      </c>
      <c r="I7" s="79">
        <v>5.602</v>
      </c>
      <c r="J7" s="88" t="str">
        <f>UPPER("consider liquid head")</f>
        <v>CONSIDER LIQUID HEAD</v>
      </c>
      <c r="K7" s="89"/>
      <c r="L7" s="89"/>
      <c r="M7" s="89"/>
      <c r="N7" s="89"/>
    </row>
    <row r="8" spans="1:9" ht="12.75">
      <c r="A8" s="98" t="s">
        <v>302</v>
      </c>
      <c r="B8" s="98"/>
      <c r="C8" s="98"/>
      <c r="D8" s="98"/>
      <c r="E8" s="98"/>
      <c r="F8" s="98"/>
      <c r="G8" s="31" t="s">
        <v>9</v>
      </c>
      <c r="H8" s="41" t="s">
        <v>11</v>
      </c>
      <c r="I8" s="80">
        <v>3500</v>
      </c>
    </row>
    <row r="9" spans="1:16" ht="15.75">
      <c r="A9" s="92" t="s">
        <v>224</v>
      </c>
      <c r="B9" s="92"/>
      <c r="C9" s="92"/>
      <c r="D9" s="92"/>
      <c r="E9" s="92"/>
      <c r="F9" s="92"/>
      <c r="G9" s="43" t="s">
        <v>299</v>
      </c>
      <c r="H9" s="43" t="s">
        <v>11</v>
      </c>
      <c r="I9" s="81">
        <v>7.0096</v>
      </c>
      <c r="J9" s="88" t="str">
        <f>UPPER("without corrosion allowance")</f>
        <v>WITHOUT CORROSION ALLOWANCE</v>
      </c>
      <c r="K9" s="89"/>
      <c r="L9" s="89"/>
      <c r="M9" s="89"/>
      <c r="N9" s="89"/>
      <c r="O9" s="44"/>
      <c r="P9" s="44"/>
    </row>
    <row r="10" spans="1:14" ht="15.75">
      <c r="A10" s="98" t="s">
        <v>225</v>
      </c>
      <c r="B10" s="98"/>
      <c r="C10" s="98"/>
      <c r="D10" s="98"/>
      <c r="E10" s="98"/>
      <c r="F10" s="98"/>
      <c r="G10" s="31" t="s">
        <v>25</v>
      </c>
      <c r="H10" s="31" t="s">
        <v>11</v>
      </c>
      <c r="I10" s="80">
        <v>0</v>
      </c>
      <c r="J10" s="88" t="s">
        <v>300</v>
      </c>
      <c r="K10" s="89"/>
      <c r="L10" s="89"/>
      <c r="M10" s="89"/>
      <c r="N10" s="89"/>
    </row>
    <row r="11" spans="1:9" ht="15.75">
      <c r="A11" s="98" t="s">
        <v>303</v>
      </c>
      <c r="B11" s="98"/>
      <c r="C11" s="98"/>
      <c r="D11" s="98"/>
      <c r="E11" s="98"/>
      <c r="F11" s="98"/>
      <c r="G11" s="31" t="s">
        <v>7</v>
      </c>
      <c r="H11" s="31" t="s">
        <v>13</v>
      </c>
      <c r="I11" s="80">
        <v>1406.14</v>
      </c>
    </row>
    <row r="12" spans="1:9" ht="15.75">
      <c r="A12" s="98" t="s">
        <v>277</v>
      </c>
      <c r="B12" s="98"/>
      <c r="C12" s="98"/>
      <c r="D12" s="98"/>
      <c r="E12" s="98"/>
      <c r="F12" s="98"/>
      <c r="G12" s="31" t="s">
        <v>155</v>
      </c>
      <c r="H12" s="31" t="s">
        <v>11</v>
      </c>
      <c r="I12" s="80">
        <v>3.2</v>
      </c>
    </row>
    <row r="13" spans="1:9" ht="14.25">
      <c r="A13" s="87" t="s">
        <v>223</v>
      </c>
      <c r="B13" s="87"/>
      <c r="C13" s="87"/>
      <c r="D13" s="87"/>
      <c r="E13" s="87"/>
      <c r="F13" s="87"/>
      <c r="G13" s="31" t="s">
        <v>173</v>
      </c>
      <c r="H13" s="31" t="s">
        <v>11</v>
      </c>
      <c r="I13" s="80">
        <v>14</v>
      </c>
    </row>
    <row r="14" spans="1:9" ht="13.5" thickBot="1">
      <c r="A14" s="93"/>
      <c r="B14" s="93"/>
      <c r="C14" s="93"/>
      <c r="D14" s="93"/>
      <c r="E14" s="93"/>
      <c r="F14" s="93"/>
      <c r="G14" s="93"/>
      <c r="H14" s="93"/>
      <c r="I14" s="94"/>
    </row>
    <row r="15" spans="1:9" ht="13.5" thickBot="1">
      <c r="A15" s="100" t="s">
        <v>280</v>
      </c>
      <c r="B15" s="101"/>
      <c r="C15" s="101"/>
      <c r="D15" s="101"/>
      <c r="E15" s="101"/>
      <c r="F15" s="101"/>
      <c r="G15" s="101"/>
      <c r="H15" s="101"/>
      <c r="I15" s="102"/>
    </row>
    <row r="16" spans="1:14" ht="12.75">
      <c r="A16" s="98" t="s">
        <v>256</v>
      </c>
      <c r="B16" s="98"/>
      <c r="C16" s="98"/>
      <c r="D16" s="98"/>
      <c r="E16" s="98"/>
      <c r="F16" s="98"/>
      <c r="G16" s="110" t="s">
        <v>272</v>
      </c>
      <c r="H16" s="110"/>
      <c r="I16" s="111"/>
      <c r="J16" s="88" t="str">
        <f>UPPER("select from drop down list")</f>
        <v>SELECT FROM DROP DOWN LIST</v>
      </c>
      <c r="K16" s="89"/>
      <c r="L16" s="89"/>
      <c r="M16" s="89"/>
      <c r="N16" s="89"/>
    </row>
    <row r="17" spans="1:9" ht="12.75">
      <c r="A17" s="87" t="s">
        <v>226</v>
      </c>
      <c r="B17" s="87"/>
      <c r="C17" s="87"/>
      <c r="D17" s="87"/>
      <c r="E17" s="87"/>
      <c r="F17" s="87"/>
      <c r="G17" s="31" t="s">
        <v>151</v>
      </c>
      <c r="H17" s="31" t="s">
        <v>11</v>
      </c>
      <c r="I17" s="80">
        <v>610</v>
      </c>
    </row>
    <row r="18" spans="1:9" ht="15.75">
      <c r="A18" s="87" t="s">
        <v>227</v>
      </c>
      <c r="B18" s="87"/>
      <c r="C18" s="87"/>
      <c r="D18" s="87"/>
      <c r="E18" s="87"/>
      <c r="F18" s="87"/>
      <c r="G18" s="31" t="s">
        <v>174</v>
      </c>
      <c r="H18" s="31" t="s">
        <v>11</v>
      </c>
      <c r="I18" s="80">
        <v>16</v>
      </c>
    </row>
    <row r="19" spans="1:9" ht="15.75">
      <c r="A19" s="87" t="s">
        <v>68</v>
      </c>
      <c r="B19" s="87"/>
      <c r="C19" s="87"/>
      <c r="D19" s="87"/>
      <c r="E19" s="87"/>
      <c r="F19" s="87"/>
      <c r="G19" s="31" t="s">
        <v>69</v>
      </c>
      <c r="H19" s="31" t="s">
        <v>11</v>
      </c>
      <c r="I19" s="80">
        <v>400</v>
      </c>
    </row>
    <row r="20" spans="1:9" ht="15.75">
      <c r="A20" s="87" t="s">
        <v>5</v>
      </c>
      <c r="B20" s="87"/>
      <c r="C20" s="87"/>
      <c r="D20" s="87"/>
      <c r="E20" s="87"/>
      <c r="F20" s="87"/>
      <c r="G20" s="31" t="s">
        <v>6</v>
      </c>
      <c r="H20" s="31" t="s">
        <v>13</v>
      </c>
      <c r="I20" s="80">
        <v>1406.14</v>
      </c>
    </row>
    <row r="21" spans="1:14" ht="12.75">
      <c r="A21" s="87" t="s">
        <v>228</v>
      </c>
      <c r="B21" s="87"/>
      <c r="C21" s="87"/>
      <c r="D21" s="87"/>
      <c r="E21" s="87"/>
      <c r="F21" s="87"/>
      <c r="G21" s="31" t="s">
        <v>229</v>
      </c>
      <c r="H21" s="31" t="s">
        <v>11</v>
      </c>
      <c r="I21" s="80">
        <v>0</v>
      </c>
      <c r="J21" s="90">
        <f>IF(I21&gt;'A-1-10'!I46,"WARNING:OFFSET CANT BE MORE THAN RADIUS","")</f>
      </c>
      <c r="K21" s="91"/>
      <c r="L21" s="91"/>
      <c r="M21" s="91"/>
      <c r="N21" s="91"/>
    </row>
    <row r="22" spans="1:14" ht="15.75">
      <c r="A22" s="103" t="s">
        <v>451</v>
      </c>
      <c r="B22" s="104"/>
      <c r="C22" s="104"/>
      <c r="D22" s="104"/>
      <c r="E22" s="104"/>
      <c r="F22" s="105"/>
      <c r="G22" s="45" t="s">
        <v>452</v>
      </c>
      <c r="H22" s="45" t="s">
        <v>11</v>
      </c>
      <c r="I22" s="82">
        <v>1.34</v>
      </c>
      <c r="J22" s="77"/>
      <c r="K22" s="46"/>
      <c r="L22" s="46"/>
      <c r="M22" s="46"/>
      <c r="N22" s="46"/>
    </row>
    <row r="23" spans="1:10" ht="13.5" thickBot="1">
      <c r="A23" s="93"/>
      <c r="B23" s="93"/>
      <c r="C23" s="93"/>
      <c r="D23" s="93"/>
      <c r="E23" s="93"/>
      <c r="F23" s="93"/>
      <c r="G23" s="93"/>
      <c r="H23" s="93"/>
      <c r="I23" s="94"/>
      <c r="J23" s="13"/>
    </row>
    <row r="24" spans="1:9" ht="13.5" thickBot="1">
      <c r="A24" s="107" t="s">
        <v>282</v>
      </c>
      <c r="B24" s="108"/>
      <c r="C24" s="108"/>
      <c r="D24" s="108"/>
      <c r="E24" s="108"/>
      <c r="F24" s="108"/>
      <c r="G24" s="108"/>
      <c r="H24" s="108"/>
      <c r="I24" s="109"/>
    </row>
    <row r="25" spans="1:15" ht="15.75">
      <c r="A25" s="98" t="s">
        <v>186</v>
      </c>
      <c r="B25" s="98"/>
      <c r="C25" s="98"/>
      <c r="D25" s="98"/>
      <c r="E25" s="98"/>
      <c r="F25" s="98"/>
      <c r="G25" s="37" t="s">
        <v>31</v>
      </c>
      <c r="H25" s="37" t="s">
        <v>11</v>
      </c>
      <c r="I25" s="79">
        <v>0</v>
      </c>
      <c r="J25" s="139">
        <f>IF(OR(G16="set in nozzle with pad",G16="set on nozzle with pad"),IF(I25&lt;I17,"WARNING:PAD DIAMETER CANT BE LESS THAN NOZZLE O.D.",""),"")</f>
      </c>
      <c r="K25" s="140"/>
      <c r="L25" s="140"/>
      <c r="M25" s="140"/>
      <c r="N25" s="140"/>
      <c r="O25" s="140"/>
    </row>
    <row r="26" spans="1:14" ht="15.75">
      <c r="A26" s="87" t="s">
        <v>121</v>
      </c>
      <c r="B26" s="87"/>
      <c r="C26" s="87"/>
      <c r="D26" s="87"/>
      <c r="E26" s="87"/>
      <c r="F26" s="87"/>
      <c r="G26" s="31" t="s">
        <v>3</v>
      </c>
      <c r="H26" s="31" t="s">
        <v>11</v>
      </c>
      <c r="I26" s="80">
        <v>0</v>
      </c>
      <c r="J26" s="143">
        <f>IF(OR(G16="self reinforcing nozzle",G16="set in nozzle without pad",G16="set on nozzle without pad"),IF(OR(I25&lt;&gt;0,I26&lt;&gt;0),"WARNING:PUT BOTH FIELDS AS ZERO",""),IF(OR(I25=0,I26=0),"WARNING,NONE OF THE FIELDS CAN BE ZERO",""))</f>
      </c>
      <c r="K26" s="144"/>
      <c r="L26" s="144"/>
      <c r="M26" s="144"/>
      <c r="N26" s="144"/>
    </row>
    <row r="27" spans="1:14" ht="12.75">
      <c r="A27" s="87" t="s">
        <v>170</v>
      </c>
      <c r="B27" s="87"/>
      <c r="C27" s="87"/>
      <c r="D27" s="87"/>
      <c r="E27" s="87"/>
      <c r="F27" s="87"/>
      <c r="G27" s="112" t="s">
        <v>234</v>
      </c>
      <c r="H27" s="112"/>
      <c r="I27" s="113"/>
      <c r="J27" s="88" t="str">
        <f>UPPER("select from drop down list")</f>
        <v>SELECT FROM DROP DOWN LIST</v>
      </c>
      <c r="K27" s="89"/>
      <c r="L27" s="89"/>
      <c r="M27" s="89"/>
      <c r="N27" s="89"/>
    </row>
    <row r="28" spans="1:12" ht="13.5" thickBot="1">
      <c r="A28" s="141"/>
      <c r="B28" s="141"/>
      <c r="C28" s="141"/>
      <c r="D28" s="141"/>
      <c r="E28" s="141"/>
      <c r="F28" s="141"/>
      <c r="G28" s="141"/>
      <c r="H28" s="141"/>
      <c r="I28" s="142"/>
      <c r="J28" s="1"/>
      <c r="K28" s="5"/>
      <c r="L28" s="17"/>
    </row>
    <row r="29" spans="1:9" ht="13.5" thickBot="1">
      <c r="A29" s="95" t="s">
        <v>283</v>
      </c>
      <c r="B29" s="96"/>
      <c r="C29" s="96"/>
      <c r="D29" s="96"/>
      <c r="E29" s="96"/>
      <c r="F29" s="96"/>
      <c r="G29" s="96"/>
      <c r="H29" s="96"/>
      <c r="I29" s="97"/>
    </row>
    <row r="30" spans="1:11" ht="12.75">
      <c r="A30" s="98" t="s">
        <v>177</v>
      </c>
      <c r="B30" s="98"/>
      <c r="C30" s="98"/>
      <c r="D30" s="98"/>
      <c r="E30" s="98"/>
      <c r="F30" s="98"/>
      <c r="G30" s="37" t="s">
        <v>180</v>
      </c>
      <c r="H30" s="37" t="s">
        <v>11</v>
      </c>
      <c r="I30" s="79">
        <v>25</v>
      </c>
      <c r="K30" s="13"/>
    </row>
    <row r="31" spans="1:14" ht="12.75">
      <c r="A31" s="87" t="s">
        <v>178</v>
      </c>
      <c r="B31" s="87"/>
      <c r="C31" s="87"/>
      <c r="D31" s="87"/>
      <c r="E31" s="87"/>
      <c r="F31" s="87"/>
      <c r="G31" s="31" t="s">
        <v>181</v>
      </c>
      <c r="H31" s="31" t="s">
        <v>11</v>
      </c>
      <c r="I31" s="80">
        <v>20</v>
      </c>
      <c r="J31" s="143" t="str">
        <f>IF(G16="self reinforcing nozzle",IF(OR(I30=0,I32=0,I32=0),"WARNING:NONE OF THE FIELD CAN BE ZERO",""),IF(AND(I30=0,I31=0,I32=0),"","WARNING:PUT ALL FIELDS AS ZERO"))</f>
        <v>WARNING:PUT ALL FIELDS AS ZERO</v>
      </c>
      <c r="K31" s="144"/>
      <c r="L31" s="144"/>
      <c r="M31" s="144"/>
      <c r="N31" s="144"/>
    </row>
    <row r="32" spans="1:18" ht="12.75">
      <c r="A32" s="87" t="s">
        <v>179</v>
      </c>
      <c r="B32" s="87"/>
      <c r="C32" s="87"/>
      <c r="D32" s="87"/>
      <c r="E32" s="87"/>
      <c r="F32" s="87"/>
      <c r="G32" s="31" t="s">
        <v>182</v>
      </c>
      <c r="H32" s="31" t="s">
        <v>11</v>
      </c>
      <c r="I32" s="80">
        <v>100</v>
      </c>
      <c r="J32" s="139" t="b">
        <f>IF(G16="self reinforcing nozzle",IF(I32&lt;I43,"WARNING:HUB THICKNESS SHOULD BE MORE THAN PROVIDED NOZZLE THICKNESS",""))</f>
        <v>0</v>
      </c>
      <c r="K32" s="140"/>
      <c r="L32" s="140"/>
      <c r="M32" s="140"/>
      <c r="N32" s="140"/>
      <c r="O32" s="140"/>
      <c r="P32" s="140"/>
      <c r="Q32" s="140"/>
      <c r="R32" s="140"/>
    </row>
    <row r="33" spans="1:9" ht="13.5" thickBot="1">
      <c r="A33" s="93"/>
      <c r="B33" s="93"/>
      <c r="C33" s="93"/>
      <c r="D33" s="93"/>
      <c r="E33" s="93"/>
      <c r="F33" s="93"/>
      <c r="G33" s="93"/>
      <c r="H33" s="93"/>
      <c r="I33" s="94"/>
    </row>
    <row r="34" spans="1:9" ht="13.5" thickBot="1">
      <c r="A34" s="100" t="s">
        <v>284</v>
      </c>
      <c r="B34" s="101"/>
      <c r="C34" s="101"/>
      <c r="D34" s="101"/>
      <c r="E34" s="101"/>
      <c r="F34" s="101"/>
      <c r="G34" s="101"/>
      <c r="H34" s="101"/>
      <c r="I34" s="102"/>
    </row>
    <row r="35" spans="1:14" ht="15.75">
      <c r="A35" s="98" t="s">
        <v>184</v>
      </c>
      <c r="B35" s="98"/>
      <c r="C35" s="98"/>
      <c r="D35" s="98"/>
      <c r="E35" s="98"/>
      <c r="F35" s="98"/>
      <c r="G35" s="39" t="s">
        <v>167</v>
      </c>
      <c r="H35" s="37" t="s">
        <v>11</v>
      </c>
      <c r="I35" s="79">
        <v>0</v>
      </c>
      <c r="J35" s="139">
        <f>IF(OR(G16="self reinforcing nozzle",G16="set in nozzle without pad",G16="set on nozzle without pad"),IF(I35=0,"","WARNING:WELD LEG MUST BE ZERO"),"")</f>
      </c>
      <c r="K35" s="151"/>
      <c r="L35" s="151"/>
      <c r="M35" s="151"/>
      <c r="N35" s="151"/>
    </row>
    <row r="36" spans="1:9" ht="15.75">
      <c r="A36" s="87" t="s">
        <v>262</v>
      </c>
      <c r="B36" s="87"/>
      <c r="C36" s="87"/>
      <c r="D36" s="87"/>
      <c r="E36" s="87"/>
      <c r="F36" s="87"/>
      <c r="G36" s="32" t="s">
        <v>168</v>
      </c>
      <c r="H36" s="31" t="s">
        <v>11</v>
      </c>
      <c r="I36" s="80">
        <v>16</v>
      </c>
    </row>
    <row r="37" spans="1:9" ht="12.75" hidden="1">
      <c r="A37" s="33" t="s">
        <v>236</v>
      </c>
      <c r="B37" s="30"/>
      <c r="C37" s="30"/>
      <c r="D37" s="33" t="s">
        <v>32</v>
      </c>
      <c r="E37" s="30"/>
      <c r="F37" s="29"/>
      <c r="G37" s="31"/>
      <c r="H37" s="31"/>
      <c r="I37" s="36">
        <v>1</v>
      </c>
    </row>
    <row r="38" spans="1:9" ht="13.5" thickBot="1">
      <c r="A38" s="93"/>
      <c r="B38" s="93"/>
      <c r="C38" s="93"/>
      <c r="D38" s="93"/>
      <c r="E38" s="93"/>
      <c r="F38" s="93"/>
      <c r="G38" s="93"/>
      <c r="H38" s="93"/>
      <c r="I38" s="94"/>
    </row>
    <row r="39" spans="1:9" ht="13.5" thickBot="1">
      <c r="A39" s="99" t="s">
        <v>285</v>
      </c>
      <c r="B39" s="99"/>
      <c r="C39" s="99"/>
      <c r="D39" s="99"/>
      <c r="E39" s="99"/>
      <c r="F39" s="99"/>
      <c r="G39" s="99"/>
      <c r="H39" s="99"/>
      <c r="I39" s="99"/>
    </row>
    <row r="40" spans="1:14" ht="15.75">
      <c r="A40" s="98" t="s">
        <v>175</v>
      </c>
      <c r="B40" s="98"/>
      <c r="C40" s="98"/>
      <c r="D40" s="98"/>
      <c r="E40" s="98"/>
      <c r="F40" s="98"/>
      <c r="G40" s="37" t="s">
        <v>154</v>
      </c>
      <c r="H40" s="37" t="s">
        <v>11</v>
      </c>
      <c r="I40" s="38">
        <f>INPUTS!I12</f>
        <v>3.2</v>
      </c>
      <c r="J40" s="147"/>
      <c r="K40" s="148"/>
      <c r="L40" s="148"/>
      <c r="M40" s="148"/>
      <c r="N40" s="148"/>
    </row>
    <row r="41" spans="1:14" ht="15.75">
      <c r="A41" s="87" t="s">
        <v>185</v>
      </c>
      <c r="B41" s="87"/>
      <c r="C41" s="87"/>
      <c r="D41" s="87"/>
      <c r="E41" s="87"/>
      <c r="F41" s="87"/>
      <c r="G41" s="31" t="s">
        <v>8</v>
      </c>
      <c r="H41" s="31" t="s">
        <v>13</v>
      </c>
      <c r="I41" s="36">
        <f>INPUTS!I11</f>
        <v>1406.14</v>
      </c>
      <c r="J41" s="149"/>
      <c r="K41" s="150"/>
      <c r="L41" s="150"/>
      <c r="M41" s="150"/>
      <c r="N41" s="150"/>
    </row>
    <row r="42" spans="1:9" ht="12.75">
      <c r="A42" s="87" t="s">
        <v>258</v>
      </c>
      <c r="B42" s="87"/>
      <c r="C42" s="87"/>
      <c r="D42" s="87"/>
      <c r="E42" s="87"/>
      <c r="F42" s="87"/>
      <c r="G42" s="32" t="s">
        <v>0</v>
      </c>
      <c r="H42" s="32" t="s">
        <v>11</v>
      </c>
      <c r="I42" s="36">
        <f>INPUTS!I13-INPUTS!I12</f>
        <v>10.8</v>
      </c>
    </row>
    <row r="43" spans="1:9" ht="15.75">
      <c r="A43" s="87" t="s">
        <v>257</v>
      </c>
      <c r="B43" s="87"/>
      <c r="C43" s="87"/>
      <c r="D43" s="87"/>
      <c r="E43" s="87"/>
      <c r="F43" s="87"/>
      <c r="G43" s="31" t="s">
        <v>2</v>
      </c>
      <c r="H43" s="31" t="s">
        <v>11</v>
      </c>
      <c r="I43" s="36">
        <f>INPUTS!I18-INPUTS!I40</f>
        <v>12.8</v>
      </c>
    </row>
    <row r="44" spans="1:9" ht="12.75">
      <c r="A44" s="87" t="s">
        <v>235</v>
      </c>
      <c r="B44" s="87"/>
      <c r="C44" s="87"/>
      <c r="D44" s="87"/>
      <c r="E44" s="87"/>
      <c r="F44" s="87"/>
      <c r="G44" s="31" t="s">
        <v>4</v>
      </c>
      <c r="H44" s="31" t="s">
        <v>11</v>
      </c>
      <c r="I44" s="36">
        <f>INPUTS!I17-2*(I43)</f>
        <v>584.4</v>
      </c>
    </row>
    <row r="45" spans="1:9" ht="12.75">
      <c r="A45" s="87" t="s">
        <v>82</v>
      </c>
      <c r="B45" s="87"/>
      <c r="C45" s="87"/>
      <c r="D45" s="87"/>
      <c r="E45" s="87"/>
      <c r="F45" s="87"/>
      <c r="G45" s="31" t="s">
        <v>66</v>
      </c>
      <c r="H45" s="31" t="s">
        <v>11</v>
      </c>
      <c r="I45" s="36">
        <f>IF(OR(INPUTS!I25=0,I17&gt;I25),0,(INPUTS!I25-INPUTS!I17)/2)</f>
        <v>0</v>
      </c>
    </row>
    <row r="46" spans="1:9" ht="12.75">
      <c r="A46" s="87" t="s">
        <v>259</v>
      </c>
      <c r="B46" s="87"/>
      <c r="C46" s="87"/>
      <c r="D46" s="87"/>
      <c r="E46" s="87"/>
      <c r="F46" s="87"/>
      <c r="G46" s="34" t="s">
        <v>261</v>
      </c>
      <c r="H46" s="28" t="s">
        <v>260</v>
      </c>
      <c r="I46" s="35">
        <f>ASIN(I21/(I8/2+I12))</f>
        <v>0</v>
      </c>
    </row>
    <row r="47" spans="1:9" ht="15.75">
      <c r="A47" s="87" t="s">
        <v>275</v>
      </c>
      <c r="B47" s="87"/>
      <c r="C47" s="87"/>
      <c r="D47" s="87"/>
      <c r="E47" s="87"/>
      <c r="F47" s="87"/>
      <c r="G47" s="28" t="s">
        <v>276</v>
      </c>
      <c r="H47" s="31" t="s">
        <v>11</v>
      </c>
      <c r="I47" s="36">
        <f>'UG-37'!I25-INPUTS!I40</f>
        <v>1.2131733122178323</v>
      </c>
    </row>
    <row r="48" spans="1:9" ht="15.75">
      <c r="A48" s="98" t="s">
        <v>298</v>
      </c>
      <c r="B48" s="98"/>
      <c r="C48" s="98"/>
      <c r="D48" s="98"/>
      <c r="E48" s="98"/>
      <c r="F48" s="98"/>
      <c r="G48" s="31" t="s">
        <v>1</v>
      </c>
      <c r="H48" s="31" t="s">
        <v>11</v>
      </c>
      <c r="I48" s="36">
        <f>MAX(I9,I10)</f>
        <v>7.0096</v>
      </c>
    </row>
    <row r="49" spans="1:9" ht="13.5" thickBot="1">
      <c r="A49" s="145"/>
      <c r="B49" s="145"/>
      <c r="C49" s="145"/>
      <c r="D49" s="145"/>
      <c r="E49" s="145"/>
      <c r="F49" s="145"/>
      <c r="G49" s="145"/>
      <c r="H49" s="145"/>
      <c r="I49" s="146"/>
    </row>
    <row r="50" spans="1:9" ht="12.75" customHeight="1" thickBot="1">
      <c r="A50" s="106" t="str">
        <f>IF(I44/I8&gt;0.7,"use u-2(g)",IF(OR(AND(INPUTS!I8&lt;=1500,AND(INPUTS!I44&lt;=0.5*INPUTS!I8,INPUTS!I44&lt;=500)),AND(INPUTS!I8&gt;1500,AND(INPUTS!I44&lt;=(INPUTS!I8/3),INPUTS!I44&lt;=1000))),"USE ASME CODE SECTION-8 DIVISION I (UG-37)",IF(AND((INPUTS!I8+2*I12)/INPUTS!I42&gt;200,INPUTS!I44&gt;1000),"USE APPENDIX 1-7","USE APPENDIX 1-10 or 1-7")))</f>
        <v>USE ASME CODE SECTION-8 DIVISION I (UG-37)</v>
      </c>
      <c r="B50" s="106"/>
      <c r="C50" s="106"/>
      <c r="D50" s="106"/>
      <c r="E50" s="106"/>
      <c r="F50" s="106"/>
      <c r="G50" s="106"/>
      <c r="H50" s="106"/>
      <c r="I50" s="106"/>
    </row>
    <row r="51" spans="1:9" ht="13.5" customHeight="1" thickBot="1">
      <c r="A51" s="106"/>
      <c r="B51" s="106"/>
      <c r="C51" s="106"/>
      <c r="D51" s="106"/>
      <c r="E51" s="106"/>
      <c r="F51" s="106"/>
      <c r="G51" s="106"/>
      <c r="H51" s="106"/>
      <c r="I51" s="106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.75" hidden="1">
      <c r="A55" s="13"/>
      <c r="B55" s="13" t="s">
        <v>255</v>
      </c>
      <c r="C55" s="13"/>
      <c r="D55" s="13"/>
      <c r="E55" s="13"/>
      <c r="F55" s="13"/>
      <c r="G55" s="13"/>
      <c r="H55" s="13"/>
      <c r="I55" s="13"/>
    </row>
    <row r="56" spans="1:9" ht="12.75" hidden="1">
      <c r="A56" s="13"/>
      <c r="B56" s="13" t="s">
        <v>270</v>
      </c>
      <c r="C56" s="13"/>
      <c r="D56" s="13"/>
      <c r="E56" s="13"/>
      <c r="F56" s="13"/>
      <c r="G56" s="13"/>
      <c r="H56" s="13"/>
      <c r="I56" s="13"/>
    </row>
    <row r="57" spans="1:9" ht="12.75" hidden="1">
      <c r="A57" s="13"/>
      <c r="B57" s="13" t="s">
        <v>271</v>
      </c>
      <c r="C57" s="13"/>
      <c r="D57" s="13"/>
      <c r="E57" s="13"/>
      <c r="F57" s="13"/>
      <c r="G57" s="13"/>
      <c r="H57" s="13"/>
      <c r="I57" s="13"/>
    </row>
    <row r="58" spans="1:9" ht="12.75" hidden="1">
      <c r="A58" s="13"/>
      <c r="B58" s="13" t="s">
        <v>272</v>
      </c>
      <c r="C58" s="13"/>
      <c r="D58" s="13"/>
      <c r="E58" s="13"/>
      <c r="F58" s="13"/>
      <c r="G58" s="13"/>
      <c r="H58" s="13"/>
      <c r="I58" s="13"/>
    </row>
    <row r="59" spans="1:9" ht="12.75" hidden="1">
      <c r="A59" s="13"/>
      <c r="B59" s="13" t="s">
        <v>273</v>
      </c>
      <c r="C59" s="13"/>
      <c r="D59" s="13"/>
      <c r="E59" s="13"/>
      <c r="F59" s="13"/>
      <c r="G59" s="13"/>
      <c r="H59" s="13"/>
      <c r="I59" s="13"/>
    </row>
    <row r="60" spans="1:9" ht="12.75" hidden="1">
      <c r="A60" s="13"/>
      <c r="B60" s="13" t="s">
        <v>274</v>
      </c>
      <c r="C60" s="13"/>
      <c r="D60" s="13"/>
      <c r="E60" s="13"/>
      <c r="F60" s="13"/>
      <c r="G60" s="13"/>
      <c r="H60" s="13"/>
      <c r="I60" s="13"/>
    </row>
    <row r="61" spans="1:9" ht="12.75" hidden="1">
      <c r="A61" s="13"/>
      <c r="B61" s="13" t="s">
        <v>234</v>
      </c>
      <c r="C61" s="13"/>
      <c r="D61" s="13"/>
      <c r="E61" s="13"/>
      <c r="F61" s="13"/>
      <c r="G61" s="13"/>
      <c r="H61" s="13"/>
      <c r="I61" s="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  <row r="67" spans="1:13" ht="12.75">
      <c r="A67" s="20"/>
      <c r="B67" s="21"/>
      <c r="C67" s="21"/>
      <c r="D67" s="21"/>
      <c r="E67" s="20"/>
      <c r="F67" s="21"/>
      <c r="G67" s="21"/>
      <c r="H67" s="21"/>
      <c r="I67" s="21"/>
      <c r="J67" s="20"/>
      <c r="K67" s="20"/>
      <c r="L67" s="19"/>
      <c r="M67" s="19"/>
    </row>
    <row r="68" spans="1:1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9" ht="12.7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2.7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.7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2.7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2.7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2.75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2.75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2.7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.7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.7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2.7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.7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2.7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2.7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2.7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.7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.7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2.7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2.7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2.7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2.7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2.7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2.7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2.7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.7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2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2.7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2.7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2.7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2.7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2.7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2.7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2.7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2.7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2.7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2.7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2.7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2.7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.7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2.7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2.7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2.7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2.7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2.7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2.7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2.7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2.7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2.7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2.7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2.7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2.7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2.7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2.7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2.7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2.7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2.7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2.7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2.7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2.7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2.7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2.7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2.7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2.7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2.7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2.7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2.7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2.7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2.7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2.7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2.7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2.7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2.7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2.7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2.7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2.7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2.7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2.7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2.7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2.7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2.7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2.7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2.7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2.7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2.7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2.7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2.7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2.7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2.7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2.7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2.7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2.7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2.7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2.75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2.7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2.7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2.75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2.75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2.7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2.75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2.7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2.75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2.75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2.75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2.75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2.75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2.75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2.7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2.7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2.7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2.75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2.75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2.75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2.75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2.75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2.7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2.75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2.7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2.75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2.75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2.75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2.75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2.75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2.75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2.75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2.75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2.75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2.75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2.75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2.75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2.7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2.75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2.75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2.7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2.75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2.7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2.75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2.7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2.7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2.75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2.7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2.75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2.75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2.7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2.75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2.75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2.7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2.7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2.7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2.7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2.7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2.7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2.7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2.75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2.75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2.7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2.75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2.75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2.7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2.7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2.75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2.75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2.75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2.75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2.75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2.75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2.75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2.75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2.75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2.75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2.75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2.75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2.75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2.7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2.75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2.75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2.75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2.75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2.75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2.75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2.75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2.75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2.75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2.75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2.75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2.75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2.75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2.75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2.75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2.75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2.75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2.75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2.75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2.75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2.75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2.75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2.75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2.75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2.75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2.75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2.75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2.75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2.75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2.75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2.75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2.75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2.75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2.75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2.75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2.75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2.75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2.75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2.75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2.75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2.75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2.75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2.75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2.75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2.75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2.75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2.75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2.75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2.75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2.75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2.75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2.75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2.75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2.75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2.75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2.75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2.75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2.75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2.75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2.75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2.75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2.75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2.75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2.75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2.75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2.75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2.75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2.75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2.75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2.75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2.75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2.75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2.75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2.75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2.75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2.75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2.75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2.75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2.75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2.75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2.75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2.75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2.75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2.75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2.75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2.75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2.75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2.75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2.75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2.75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2.75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2.75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2.75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2.75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2.75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2.75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2.75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2.75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2.75">
      <c r="A355" s="13"/>
      <c r="B355" s="13"/>
      <c r="C355" s="13"/>
      <c r="D355" s="13"/>
      <c r="E355" s="13"/>
      <c r="F355" s="13"/>
      <c r="G355" s="13"/>
      <c r="H355" s="13"/>
      <c r="I355" s="13"/>
    </row>
  </sheetData>
  <sheetProtection password="CD2A" sheet="1"/>
  <mergeCells count="67">
    <mergeCell ref="J16:N16"/>
    <mergeCell ref="J26:N26"/>
    <mergeCell ref="J32:R32"/>
    <mergeCell ref="A49:I49"/>
    <mergeCell ref="J40:N40"/>
    <mergeCell ref="J41:N41"/>
    <mergeCell ref="J27:N27"/>
    <mergeCell ref="J35:N35"/>
    <mergeCell ref="J31:N31"/>
    <mergeCell ref="A31:F31"/>
    <mergeCell ref="A7:F7"/>
    <mergeCell ref="A8:F8"/>
    <mergeCell ref="A6:I6"/>
    <mergeCell ref="J25:O25"/>
    <mergeCell ref="A30:F30"/>
    <mergeCell ref="A26:F26"/>
    <mergeCell ref="A16:F16"/>
    <mergeCell ref="A27:F27"/>
    <mergeCell ref="A28:I28"/>
    <mergeCell ref="A17:F17"/>
    <mergeCell ref="A18:F18"/>
    <mergeCell ref="A19:F19"/>
    <mergeCell ref="A21:F21"/>
    <mergeCell ref="I2:I3"/>
    <mergeCell ref="B4:G5"/>
    <mergeCell ref="H4:H5"/>
    <mergeCell ref="I4:I5"/>
    <mergeCell ref="H2:H3"/>
    <mergeCell ref="A2:A5"/>
    <mergeCell ref="B2:G3"/>
    <mergeCell ref="A48:F48"/>
    <mergeCell ref="A40:F40"/>
    <mergeCell ref="A32:F32"/>
    <mergeCell ref="A47:F47"/>
    <mergeCell ref="A10:F10"/>
    <mergeCell ref="G16:I16"/>
    <mergeCell ref="A11:F11"/>
    <mergeCell ref="A25:F25"/>
    <mergeCell ref="A12:F12"/>
    <mergeCell ref="G27:I27"/>
    <mergeCell ref="A13:F13"/>
    <mergeCell ref="A34:I34"/>
    <mergeCell ref="A23:I23"/>
    <mergeCell ref="A22:F22"/>
    <mergeCell ref="A33:I33"/>
    <mergeCell ref="A50:I51"/>
    <mergeCell ref="A41:F41"/>
    <mergeCell ref="A45:F45"/>
    <mergeCell ref="A46:F46"/>
    <mergeCell ref="A15:I15"/>
    <mergeCell ref="A20:F20"/>
    <mergeCell ref="A29:I29"/>
    <mergeCell ref="A35:F35"/>
    <mergeCell ref="A39:I39"/>
    <mergeCell ref="A43:F43"/>
    <mergeCell ref="A42:F42"/>
    <mergeCell ref="A24:I24"/>
    <mergeCell ref="G1:I1"/>
    <mergeCell ref="A44:F44"/>
    <mergeCell ref="J10:N10"/>
    <mergeCell ref="J9:N9"/>
    <mergeCell ref="J7:N7"/>
    <mergeCell ref="J21:N21"/>
    <mergeCell ref="A9:F9"/>
    <mergeCell ref="A38:I38"/>
    <mergeCell ref="A36:F36"/>
    <mergeCell ref="A14:I14"/>
  </mergeCells>
  <conditionalFormatting sqref="J26">
    <cfRule type="cellIs" priority="1" dxfId="0" operator="equal" stopIfTrue="1">
      <formula>"WARNING:PUT BOTH FIELDS AS ZERO"</formula>
    </cfRule>
    <cfRule type="cellIs" priority="2" dxfId="0" operator="equal" stopIfTrue="1">
      <formula>"WARNING,NONE OF THE FIELDS CAN BE ZERO"</formula>
    </cfRule>
  </conditionalFormatting>
  <conditionalFormatting sqref="J31:N31">
    <cfRule type="cellIs" priority="3" dxfId="0" operator="equal" stopIfTrue="1">
      <formula>"WARNING:NONE OF THE FIELD CAN BE ZERO"</formula>
    </cfRule>
    <cfRule type="cellIs" priority="4" dxfId="0" operator="equal" stopIfTrue="1">
      <formula>"WARNING:PUT ALL FIELDS AS ZERO"</formula>
    </cfRule>
  </conditionalFormatting>
  <conditionalFormatting sqref="J32">
    <cfRule type="cellIs" priority="5" dxfId="0" operator="equal" stopIfTrue="1">
      <formula>"WARNING:HUB THICKNESS SHOULD BE MORE THAN PROVIDED NOZZLE THICKNESS"</formula>
    </cfRule>
  </conditionalFormatting>
  <conditionalFormatting sqref="J25">
    <cfRule type="cellIs" priority="6" dxfId="0" operator="equal" stopIfTrue="1">
      <formula>"WARNING:PAD DIAMETER CANT BE LESS THAN NOZZLE O.D."</formula>
    </cfRule>
  </conditionalFormatting>
  <conditionalFormatting sqref="J35">
    <cfRule type="cellIs" priority="7" dxfId="0" operator="equal" stopIfTrue="1">
      <formula>"WARNING:WELD LEG MUST BE ZERO"</formula>
    </cfRule>
  </conditionalFormatting>
  <conditionalFormatting sqref="L18 J21:N22">
    <cfRule type="cellIs" priority="8" dxfId="0" operator="equal" stopIfTrue="1">
      <formula>"WARNING:OFFSET CANT BE MORE THAN RADIUS"</formula>
    </cfRule>
  </conditionalFormatting>
  <dataValidations count="2">
    <dataValidation type="list" allowBlank="1" showInputMessage="1" showErrorMessage="1" sqref="G16:I16">
      <formula1>$B$55:$B$59</formula1>
    </dataValidation>
    <dataValidation type="list" allowBlank="1" showInputMessage="1" showErrorMessage="1" sqref="G27:I27">
      <formula1>$B$60:$B$61</formula1>
    </dataValidation>
  </dataValidations>
  <hyperlinks>
    <hyperlink ref="G1:I1" r:id="rId1" display="pvtools.weebly.com"/>
  </hyperlink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Picture.8" shapeId="173547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PageLayoutView="0" workbookViewId="0" topLeftCell="A1">
      <selection activeCell="J5" sqref="J5"/>
    </sheetView>
  </sheetViews>
  <sheetFormatPr defaultColWidth="9.140625" defaultRowHeight="12.75"/>
  <sheetData>
    <row r="1" spans="1:9" ht="27" customHeight="1" thickBot="1">
      <c r="A1" s="197" t="s">
        <v>230</v>
      </c>
      <c r="B1" s="198"/>
      <c r="C1" s="198"/>
      <c r="D1" s="198"/>
      <c r="E1" s="198"/>
      <c r="F1" s="198"/>
      <c r="G1" s="198"/>
      <c r="H1" s="198"/>
      <c r="I1" s="199"/>
    </row>
    <row r="2" spans="1:9" ht="12.75" customHeight="1">
      <c r="A2" s="9"/>
      <c r="B2" s="10"/>
      <c r="C2" s="10"/>
      <c r="D2" s="10"/>
      <c r="E2" s="10"/>
      <c r="F2" s="10"/>
      <c r="G2" s="10"/>
      <c r="H2" s="10"/>
      <c r="I2" s="11"/>
    </row>
    <row r="3" spans="1:9" ht="12.75">
      <c r="A3" s="12"/>
      <c r="B3" s="13"/>
      <c r="C3" s="13"/>
      <c r="D3" s="13"/>
      <c r="E3" s="13"/>
      <c r="F3" s="13"/>
      <c r="G3" s="13"/>
      <c r="H3" s="13"/>
      <c r="I3" s="14"/>
    </row>
    <row r="4" spans="1:9" ht="12.75">
      <c r="A4" s="12"/>
      <c r="B4" s="13"/>
      <c r="C4" s="13"/>
      <c r="D4" s="13"/>
      <c r="E4" s="13"/>
      <c r="F4" s="13"/>
      <c r="G4" s="13"/>
      <c r="H4" s="13"/>
      <c r="I4" s="14"/>
    </row>
    <row r="5" spans="1:9" ht="12.75">
      <c r="A5" s="12"/>
      <c r="B5" s="13"/>
      <c r="C5" s="13"/>
      <c r="D5" s="13"/>
      <c r="E5" s="13"/>
      <c r="F5" s="13"/>
      <c r="G5" s="13"/>
      <c r="H5" s="13"/>
      <c r="I5" s="14"/>
    </row>
    <row r="6" spans="1:18" ht="12.75">
      <c r="A6" s="12"/>
      <c r="B6" s="13"/>
      <c r="C6" s="13"/>
      <c r="D6" s="13"/>
      <c r="E6" s="13"/>
      <c r="F6" s="13"/>
      <c r="G6" s="13"/>
      <c r="H6" s="13"/>
      <c r="I6" s="14"/>
      <c r="R6" s="1"/>
    </row>
    <row r="7" spans="1:9" ht="12.75">
      <c r="A7" s="12"/>
      <c r="B7" s="13"/>
      <c r="C7" s="13"/>
      <c r="D7" s="13"/>
      <c r="E7" s="13"/>
      <c r="F7" s="13"/>
      <c r="G7" s="13"/>
      <c r="H7" s="13"/>
      <c r="I7" s="14"/>
    </row>
    <row r="8" spans="1:9" ht="12.75">
      <c r="A8" s="12"/>
      <c r="B8" s="13"/>
      <c r="C8" s="13"/>
      <c r="D8" s="13"/>
      <c r="E8" s="13"/>
      <c r="F8" s="13"/>
      <c r="G8" s="13"/>
      <c r="H8" s="13"/>
      <c r="I8" s="14"/>
    </row>
    <row r="9" spans="1:9" ht="12.75">
      <c r="A9" s="12"/>
      <c r="B9" s="13"/>
      <c r="C9" s="13"/>
      <c r="D9" s="13"/>
      <c r="E9" s="13"/>
      <c r="F9" s="13"/>
      <c r="G9" s="13"/>
      <c r="H9" s="13"/>
      <c r="I9" s="14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4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4"/>
    </row>
    <row r="12" spans="1:9" ht="12.75">
      <c r="A12" s="12"/>
      <c r="B12" s="13"/>
      <c r="C12" s="13"/>
      <c r="D12" s="13"/>
      <c r="E12" s="13"/>
      <c r="F12" s="13"/>
      <c r="G12" s="13"/>
      <c r="H12" s="13"/>
      <c r="I12" s="14"/>
    </row>
    <row r="13" spans="1:9" ht="12.75">
      <c r="A13" s="12"/>
      <c r="B13" s="13"/>
      <c r="C13" s="13"/>
      <c r="D13" s="13"/>
      <c r="E13" s="13"/>
      <c r="F13" s="13"/>
      <c r="G13" s="13"/>
      <c r="H13" s="13"/>
      <c r="I13" s="14"/>
    </row>
    <row r="14" spans="1:9" ht="12.75">
      <c r="A14" s="12"/>
      <c r="B14" s="13"/>
      <c r="C14" s="13"/>
      <c r="D14" s="13"/>
      <c r="E14" s="13"/>
      <c r="F14" s="13"/>
      <c r="G14" s="13"/>
      <c r="H14" s="13"/>
      <c r="I14" s="14"/>
    </row>
    <row r="15" spans="1:9" ht="12.75">
      <c r="A15" s="12"/>
      <c r="B15" s="13"/>
      <c r="C15" s="13"/>
      <c r="D15" s="13"/>
      <c r="E15" s="13"/>
      <c r="F15" s="13"/>
      <c r="G15" s="13"/>
      <c r="H15" s="13"/>
      <c r="I15" s="14"/>
    </row>
    <row r="16" spans="1:9" ht="12.7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2.75">
      <c r="A17" s="12"/>
      <c r="B17" s="13"/>
      <c r="C17" s="13"/>
      <c r="D17" s="13"/>
      <c r="E17" s="13"/>
      <c r="F17" s="13"/>
      <c r="G17" s="13"/>
      <c r="H17" s="13"/>
      <c r="I17" s="14"/>
    </row>
    <row r="18" spans="1:9" ht="12.75">
      <c r="A18" s="12"/>
      <c r="B18" s="13"/>
      <c r="C18" s="13"/>
      <c r="D18" s="13"/>
      <c r="E18" s="13"/>
      <c r="F18" s="13"/>
      <c r="G18" s="13"/>
      <c r="H18" s="13"/>
      <c r="I18" s="14"/>
    </row>
    <row r="19" spans="1:9" ht="12.75">
      <c r="A19" s="12"/>
      <c r="B19" s="13"/>
      <c r="C19" s="13"/>
      <c r="D19" s="13"/>
      <c r="E19" s="13"/>
      <c r="F19" s="13"/>
      <c r="G19" s="13"/>
      <c r="H19" s="13"/>
      <c r="I19" s="14"/>
    </row>
    <row r="20" spans="1:9" ht="12.75">
      <c r="A20" s="12"/>
      <c r="B20" s="13"/>
      <c r="C20" s="13"/>
      <c r="D20" s="13"/>
      <c r="E20" s="13"/>
      <c r="F20" s="13"/>
      <c r="G20" s="13"/>
      <c r="H20" s="13"/>
      <c r="I20" s="14"/>
    </row>
    <row r="21" spans="1:9" ht="12.75">
      <c r="A21" s="12"/>
      <c r="B21" s="13"/>
      <c r="C21" s="13"/>
      <c r="D21" s="13"/>
      <c r="E21" s="13"/>
      <c r="F21" s="13"/>
      <c r="G21" s="13"/>
      <c r="H21" s="13"/>
      <c r="I21" s="14"/>
    </row>
    <row r="22" spans="1:9" ht="12.75">
      <c r="A22" s="12"/>
      <c r="B22" s="13"/>
      <c r="C22" s="13"/>
      <c r="D22" s="13"/>
      <c r="E22" s="13"/>
      <c r="F22" s="13"/>
      <c r="G22" s="13"/>
      <c r="H22" s="13"/>
      <c r="I22" s="14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9" ht="13.5" thickBot="1">
      <c r="A24" s="162" t="s">
        <v>296</v>
      </c>
      <c r="B24" s="163"/>
      <c r="C24" s="163"/>
      <c r="D24" s="163"/>
      <c r="E24" s="163"/>
      <c r="F24" s="163"/>
      <c r="G24" s="163"/>
      <c r="H24" s="163"/>
      <c r="I24" s="164"/>
    </row>
    <row r="25" spans="1:9" ht="15.75">
      <c r="A25" s="165" t="s">
        <v>15</v>
      </c>
      <c r="B25" s="165"/>
      <c r="C25" s="165"/>
      <c r="D25" s="165"/>
      <c r="E25" s="165"/>
      <c r="F25" s="165"/>
      <c r="G25" s="165"/>
      <c r="H25" s="157" t="s">
        <v>11</v>
      </c>
      <c r="I25" s="157">
        <f>(INPUTS!I7*(INPUTS!I17)/(2*(INPUTS!I20+(0.4*INPUTS!I7))))+INPUTS!I40</f>
        <v>4.4131733122178325</v>
      </c>
    </row>
    <row r="26" spans="1:9" ht="15.75">
      <c r="A26" s="153" t="s">
        <v>183</v>
      </c>
      <c r="B26" s="153"/>
      <c r="C26" s="153"/>
      <c r="D26" s="153"/>
      <c r="E26" s="153"/>
      <c r="F26" s="153"/>
      <c r="G26" s="153"/>
      <c r="H26" s="158"/>
      <c r="I26" s="158"/>
    </row>
    <row r="27" spans="1:9" ht="12.75">
      <c r="A27" s="166"/>
      <c r="B27" s="166"/>
      <c r="C27" s="166"/>
      <c r="D27" s="166"/>
      <c r="E27" s="166"/>
      <c r="F27" s="166"/>
      <c r="G27" s="166"/>
      <c r="H27" s="166"/>
      <c r="I27" s="166"/>
    </row>
    <row r="28" spans="1:9" ht="15.75">
      <c r="A28" s="153" t="s">
        <v>16</v>
      </c>
      <c r="B28" s="153"/>
      <c r="C28" s="153"/>
      <c r="D28" s="153"/>
      <c r="E28" s="153"/>
      <c r="F28" s="153"/>
      <c r="G28" s="153"/>
      <c r="H28" s="158" t="s">
        <v>11</v>
      </c>
      <c r="I28" s="158">
        <f>INPUTS!I48+INPUTS!I40</f>
        <v>10.2096</v>
      </c>
    </row>
    <row r="29" spans="1:9" ht="15.75">
      <c r="A29" s="153" t="s">
        <v>156</v>
      </c>
      <c r="B29" s="153"/>
      <c r="C29" s="153"/>
      <c r="D29" s="153"/>
      <c r="E29" s="153"/>
      <c r="F29" s="153"/>
      <c r="G29" s="153"/>
      <c r="H29" s="158"/>
      <c r="I29" s="158"/>
    </row>
    <row r="30" spans="1:9" ht="12.75">
      <c r="A30" s="166"/>
      <c r="B30" s="166"/>
      <c r="C30" s="166"/>
      <c r="D30" s="166"/>
      <c r="E30" s="166"/>
      <c r="F30" s="166"/>
      <c r="G30" s="166"/>
      <c r="H30" s="166"/>
      <c r="I30" s="166"/>
    </row>
    <row r="31" spans="1:9" ht="15.75">
      <c r="A31" s="153" t="s">
        <v>17</v>
      </c>
      <c r="B31" s="153"/>
      <c r="C31" s="153"/>
      <c r="D31" s="153"/>
      <c r="E31" s="153"/>
      <c r="F31" s="153"/>
      <c r="G31" s="153"/>
      <c r="H31" s="158" t="s">
        <v>11</v>
      </c>
      <c r="I31" s="158">
        <f>INPUTS!I22+INPUTS!I40</f>
        <v>4.54</v>
      </c>
    </row>
    <row r="32" spans="1:9" ht="15.75">
      <c r="A32" s="153" t="s">
        <v>157</v>
      </c>
      <c r="B32" s="153"/>
      <c r="C32" s="153"/>
      <c r="D32" s="153"/>
      <c r="E32" s="153"/>
      <c r="F32" s="153"/>
      <c r="G32" s="153"/>
      <c r="H32" s="158"/>
      <c r="I32" s="158"/>
    </row>
    <row r="33" spans="1:9" ht="12.75">
      <c r="A33" s="166"/>
      <c r="B33" s="166"/>
      <c r="C33" s="166"/>
      <c r="D33" s="166"/>
      <c r="E33" s="166"/>
      <c r="F33" s="166"/>
      <c r="G33" s="166"/>
      <c r="H33" s="166"/>
      <c r="I33" s="166"/>
    </row>
    <row r="34" spans="1:9" ht="15.75">
      <c r="A34" s="153" t="s">
        <v>18</v>
      </c>
      <c r="B34" s="153"/>
      <c r="C34" s="153"/>
      <c r="D34" s="153"/>
      <c r="E34" s="153"/>
      <c r="F34" s="153"/>
      <c r="G34" s="153"/>
      <c r="H34" s="158" t="s">
        <v>11</v>
      </c>
      <c r="I34" s="158">
        <f ca="1">IF(INPUTS!I44&gt;'UG-37'!B118,8.34+INPUTS!I40,OFFSET(INDEX('UG-37'!F101:F118,MATCH(INPUTS!I17-INPUTS!I43,'UG-37'!B101:B118,1)),1,0)+INPUTS!I40)</f>
        <v>11.54</v>
      </c>
    </row>
    <row r="35" spans="1:9" ht="15.75">
      <c r="A35" s="153" t="s">
        <v>158</v>
      </c>
      <c r="B35" s="153"/>
      <c r="C35" s="153"/>
      <c r="D35" s="153"/>
      <c r="E35" s="153"/>
      <c r="F35" s="153"/>
      <c r="G35" s="153"/>
      <c r="H35" s="158"/>
      <c r="I35" s="158"/>
    </row>
    <row r="36" spans="1:9" ht="12.75">
      <c r="A36" s="166"/>
      <c r="B36" s="166"/>
      <c r="C36" s="166"/>
      <c r="D36" s="166"/>
      <c r="E36" s="166"/>
      <c r="F36" s="166"/>
      <c r="G36" s="166"/>
      <c r="H36" s="166"/>
      <c r="I36" s="166"/>
    </row>
    <row r="37" spans="1:9" ht="15.75">
      <c r="A37" s="153" t="s">
        <v>153</v>
      </c>
      <c r="B37" s="153"/>
      <c r="C37" s="153"/>
      <c r="D37" s="153"/>
      <c r="E37" s="153"/>
      <c r="F37" s="153"/>
      <c r="G37" s="153"/>
      <c r="H37" s="158" t="s">
        <v>11</v>
      </c>
      <c r="I37" s="158">
        <f>MAX('UG-37'!I25,MIN(I34,MAX(I31,I28)))</f>
        <v>10.2096</v>
      </c>
    </row>
    <row r="38" spans="1:19" ht="16.5" thickBot="1">
      <c r="A38" s="152" t="s">
        <v>295</v>
      </c>
      <c r="B38" s="152"/>
      <c r="C38" s="152"/>
      <c r="D38" s="152"/>
      <c r="E38" s="152"/>
      <c r="F38" s="152"/>
      <c r="G38" s="152"/>
      <c r="H38" s="161"/>
      <c r="I38" s="161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6.5" thickBot="1">
      <c r="A39" s="200" t="str">
        <f>IF('UG-37'!I37&lt;INPUTS!I18,UPPER("Provided nozzle wall thickness is sufficient"),UPPER("Provided nozzle wall thickness is insufficient"))</f>
        <v>PROVIDED NOZZLE WALL THICKNESS IS SUFFICIENT</v>
      </c>
      <c r="B39" s="201"/>
      <c r="C39" s="201"/>
      <c r="D39" s="201"/>
      <c r="E39" s="201"/>
      <c r="F39" s="201"/>
      <c r="G39" s="201"/>
      <c r="H39" s="201"/>
      <c r="I39" s="202"/>
      <c r="J39" s="20"/>
      <c r="K39" s="156"/>
      <c r="L39" s="156"/>
      <c r="M39" s="156"/>
      <c r="N39" s="156"/>
      <c r="O39" s="156"/>
      <c r="P39" s="19"/>
      <c r="Q39" s="19"/>
      <c r="R39" s="19"/>
      <c r="S39" s="19"/>
    </row>
    <row r="40" spans="1:19" ht="13.5" thickBot="1">
      <c r="A40" s="154"/>
      <c r="B40" s="154"/>
      <c r="C40" s="154"/>
      <c r="D40" s="154"/>
      <c r="E40" s="154"/>
      <c r="F40" s="154"/>
      <c r="G40" s="154"/>
      <c r="H40" s="154"/>
      <c r="I40" s="155"/>
      <c r="J40" s="20"/>
      <c r="K40" s="8"/>
      <c r="L40" s="8"/>
      <c r="M40" s="8"/>
      <c r="N40" s="8"/>
      <c r="O40" s="8"/>
      <c r="P40" s="19"/>
      <c r="Q40" s="19"/>
      <c r="R40" s="19"/>
      <c r="S40" s="19"/>
    </row>
    <row r="41" spans="1:19" ht="15" customHeight="1" thickBot="1">
      <c r="A41" s="95" t="s">
        <v>231</v>
      </c>
      <c r="B41" s="96"/>
      <c r="C41" s="96"/>
      <c r="D41" s="96"/>
      <c r="E41" s="96"/>
      <c r="F41" s="96"/>
      <c r="G41" s="96"/>
      <c r="H41" s="96"/>
      <c r="I41" s="97"/>
      <c r="J41" s="20"/>
      <c r="K41" s="20"/>
      <c r="L41" s="20"/>
      <c r="M41" s="20"/>
      <c r="N41" s="20"/>
      <c r="O41" s="20"/>
      <c r="P41" s="19"/>
      <c r="Q41" s="19"/>
      <c r="R41" s="19"/>
      <c r="S41" s="19"/>
    </row>
    <row r="42" spans="1:19" ht="15.75">
      <c r="A42" s="194" t="s">
        <v>197</v>
      </c>
      <c r="B42" s="98"/>
      <c r="C42" s="98"/>
      <c r="D42" s="98"/>
      <c r="E42" s="98"/>
      <c r="F42" s="98"/>
      <c r="G42" s="188" t="s">
        <v>232</v>
      </c>
      <c r="H42" s="188" t="s">
        <v>11</v>
      </c>
      <c r="I42" s="175">
        <f>2*MAX(INPUTS!I44,INPUTS!I43+'A-1-10'!I46+INPUTS!I42)</f>
        <v>1168.8</v>
      </c>
      <c r="J42" s="20"/>
      <c r="K42" s="156"/>
      <c r="L42" s="156"/>
      <c r="M42" s="156"/>
      <c r="N42" s="156"/>
      <c r="O42" s="156"/>
      <c r="P42" s="156"/>
      <c r="Q42" s="156"/>
      <c r="R42" s="156"/>
      <c r="S42" s="156"/>
    </row>
    <row r="43" spans="1:19" ht="15.75">
      <c r="A43" s="195" t="s">
        <v>195</v>
      </c>
      <c r="B43" s="87"/>
      <c r="C43" s="87"/>
      <c r="D43" s="87"/>
      <c r="E43" s="87"/>
      <c r="F43" s="87"/>
      <c r="G43" s="189"/>
      <c r="H43" s="169"/>
      <c r="I43" s="173"/>
      <c r="J43" s="20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.75">
      <c r="A44" s="203"/>
      <c r="B44" s="203"/>
      <c r="C44" s="203"/>
      <c r="D44" s="203"/>
      <c r="E44" s="203"/>
      <c r="F44" s="203"/>
      <c r="G44" s="203"/>
      <c r="H44" s="203"/>
      <c r="I44" s="203"/>
      <c r="J44" s="40"/>
      <c r="K44" s="19"/>
      <c r="L44" s="19"/>
      <c r="M44" s="19"/>
      <c r="N44" s="19"/>
      <c r="O44" s="19"/>
      <c r="P44" s="19"/>
      <c r="Q44" s="19"/>
      <c r="R44" s="19"/>
      <c r="S44" s="19"/>
    </row>
    <row r="45" spans="1:10" ht="15.75">
      <c r="A45" s="195" t="s">
        <v>198</v>
      </c>
      <c r="B45" s="87"/>
      <c r="C45" s="87"/>
      <c r="D45" s="87"/>
      <c r="E45" s="87"/>
      <c r="F45" s="87"/>
      <c r="G45" s="189" t="s">
        <v>233</v>
      </c>
      <c r="H45" s="189" t="s">
        <v>11</v>
      </c>
      <c r="I45" s="196">
        <f>MIN(2.5*INPUTS!I42,2.5*INPUTS!I43+INPUTS!I26)</f>
        <v>27</v>
      </c>
      <c r="J45" s="12"/>
    </row>
    <row r="46" spans="1:10" ht="15.75">
      <c r="A46" s="195" t="s">
        <v>196</v>
      </c>
      <c r="B46" s="87"/>
      <c r="C46" s="87"/>
      <c r="D46" s="87"/>
      <c r="E46" s="87"/>
      <c r="F46" s="87"/>
      <c r="G46" s="189"/>
      <c r="H46" s="169"/>
      <c r="I46" s="173"/>
      <c r="J46" s="13"/>
    </row>
    <row r="47" spans="1:10" ht="13.5" thickBot="1">
      <c r="A47" s="190"/>
      <c r="B47" s="191"/>
      <c r="C47" s="191"/>
      <c r="D47" s="191"/>
      <c r="E47" s="191"/>
      <c r="F47" s="191"/>
      <c r="G47" s="191"/>
      <c r="H47" s="191"/>
      <c r="I47" s="192"/>
      <c r="J47" s="13"/>
    </row>
    <row r="48" spans="1:10" ht="13.5" thickBot="1">
      <c r="A48" s="162" t="s">
        <v>278</v>
      </c>
      <c r="B48" s="163"/>
      <c r="C48" s="163"/>
      <c r="D48" s="163"/>
      <c r="E48" s="163"/>
      <c r="F48" s="163"/>
      <c r="G48" s="163"/>
      <c r="H48" s="163"/>
      <c r="I48" s="164"/>
      <c r="J48" s="13"/>
    </row>
    <row r="49" spans="1:10" ht="12.75">
      <c r="A49" s="167" t="s">
        <v>237</v>
      </c>
      <c r="B49" s="168"/>
      <c r="C49" s="168"/>
      <c r="D49" s="168"/>
      <c r="E49" s="168"/>
      <c r="F49" s="168"/>
      <c r="G49" s="193" t="s">
        <v>14</v>
      </c>
      <c r="H49" s="193" t="s">
        <v>14</v>
      </c>
      <c r="I49" s="175">
        <f>INPUTS!I20/INPUTS!I11</f>
        <v>1</v>
      </c>
      <c r="J49" s="13"/>
    </row>
    <row r="50" spans="1:10" ht="12.75">
      <c r="A50" s="159" t="s">
        <v>238</v>
      </c>
      <c r="B50" s="160"/>
      <c r="C50" s="160"/>
      <c r="D50" s="160"/>
      <c r="E50" s="160"/>
      <c r="F50" s="160"/>
      <c r="G50" s="169"/>
      <c r="H50" s="169"/>
      <c r="I50" s="173"/>
      <c r="J50" s="13"/>
    </row>
    <row r="51" spans="1:11" ht="12.75">
      <c r="A51" s="170"/>
      <c r="B51" s="171"/>
      <c r="C51" s="171"/>
      <c r="D51" s="171"/>
      <c r="E51" s="171"/>
      <c r="F51" s="171"/>
      <c r="G51" s="171"/>
      <c r="H51" s="171"/>
      <c r="I51" s="172"/>
      <c r="J51" s="13"/>
      <c r="K51" s="16"/>
    </row>
    <row r="52" spans="1:10" ht="12.75">
      <c r="A52" s="159" t="s">
        <v>239</v>
      </c>
      <c r="B52" s="160"/>
      <c r="C52" s="160"/>
      <c r="D52" s="160"/>
      <c r="E52" s="160"/>
      <c r="F52" s="160"/>
      <c r="G52" s="169" t="s">
        <v>14</v>
      </c>
      <c r="H52" s="169" t="s">
        <v>14</v>
      </c>
      <c r="I52" s="173">
        <f>MIN(INPUTS!I20,INPUTS!I41)/INPUTS!I11</f>
        <v>1</v>
      </c>
      <c r="J52" s="13"/>
    </row>
    <row r="53" spans="1:10" ht="12.75">
      <c r="A53" s="159" t="s">
        <v>240</v>
      </c>
      <c r="B53" s="160"/>
      <c r="C53" s="160"/>
      <c r="D53" s="160"/>
      <c r="E53" s="160"/>
      <c r="F53" s="160"/>
      <c r="G53" s="169"/>
      <c r="H53" s="169"/>
      <c r="I53" s="173"/>
      <c r="J53" s="13"/>
    </row>
    <row r="54" spans="1:10" ht="12.75">
      <c r="A54" s="170"/>
      <c r="B54" s="171"/>
      <c r="C54" s="171"/>
      <c r="D54" s="171"/>
      <c r="E54" s="171"/>
      <c r="F54" s="171"/>
      <c r="G54" s="171"/>
      <c r="H54" s="171"/>
      <c r="I54" s="172"/>
      <c r="J54" s="13"/>
    </row>
    <row r="55" spans="1:10" ht="12.75">
      <c r="A55" s="159" t="s">
        <v>241</v>
      </c>
      <c r="B55" s="160"/>
      <c r="C55" s="160"/>
      <c r="D55" s="160"/>
      <c r="E55" s="160"/>
      <c r="F55" s="160"/>
      <c r="G55" s="169" t="s">
        <v>14</v>
      </c>
      <c r="H55" s="169" t="s">
        <v>14</v>
      </c>
      <c r="I55" s="173">
        <f>INPUTS!I41/INPUTS!I11</f>
        <v>1</v>
      </c>
      <c r="J55" s="13"/>
    </row>
    <row r="56" spans="1:10" ht="12.75">
      <c r="A56" s="159" t="s">
        <v>242</v>
      </c>
      <c r="B56" s="160"/>
      <c r="C56" s="160"/>
      <c r="D56" s="160"/>
      <c r="E56" s="160"/>
      <c r="F56" s="160"/>
      <c r="G56" s="169"/>
      <c r="H56" s="169"/>
      <c r="I56" s="173"/>
      <c r="J56" s="13"/>
    </row>
    <row r="57" spans="1:10" ht="12.75">
      <c r="A57" s="170"/>
      <c r="B57" s="171"/>
      <c r="C57" s="171"/>
      <c r="D57" s="171"/>
      <c r="E57" s="171"/>
      <c r="F57" s="171"/>
      <c r="G57" s="171"/>
      <c r="H57" s="171"/>
      <c r="I57" s="172"/>
      <c r="J57" s="13"/>
    </row>
    <row r="58" spans="1:10" ht="12.75">
      <c r="A58" s="159" t="s">
        <v>10</v>
      </c>
      <c r="B58" s="160"/>
      <c r="C58" s="160"/>
      <c r="D58" s="160"/>
      <c r="E58" s="160"/>
      <c r="F58" s="160"/>
      <c r="G58" s="169" t="s">
        <v>14</v>
      </c>
      <c r="H58" s="169" t="s">
        <v>14</v>
      </c>
      <c r="I58" s="173">
        <f>IF(INPUTS!G16="self reinforcing nozzle",0.75+0.25*COS(2*INPUTS!I46),1)</f>
        <v>1</v>
      </c>
      <c r="J58" s="13"/>
    </row>
    <row r="59" spans="1:10" ht="12.75">
      <c r="A59" s="159" t="s">
        <v>243</v>
      </c>
      <c r="B59" s="160"/>
      <c r="C59" s="160"/>
      <c r="D59" s="160"/>
      <c r="E59" s="160"/>
      <c r="F59" s="160"/>
      <c r="G59" s="169"/>
      <c r="H59" s="169"/>
      <c r="I59" s="173"/>
      <c r="J59" s="13"/>
    </row>
    <row r="60" spans="1:10" ht="13.5" thickBot="1">
      <c r="A60" s="190"/>
      <c r="B60" s="191"/>
      <c r="C60" s="191"/>
      <c r="D60" s="191"/>
      <c r="E60" s="191"/>
      <c r="F60" s="191"/>
      <c r="G60" s="191"/>
      <c r="H60" s="191"/>
      <c r="I60" s="192"/>
      <c r="J60" s="13"/>
    </row>
    <row r="61" spans="1:10" ht="13.5" thickBot="1">
      <c r="A61" s="162" t="s">
        <v>279</v>
      </c>
      <c r="B61" s="163"/>
      <c r="C61" s="163"/>
      <c r="D61" s="163"/>
      <c r="E61" s="163"/>
      <c r="F61" s="163"/>
      <c r="G61" s="163"/>
      <c r="H61" s="163"/>
      <c r="I61" s="164"/>
      <c r="J61" s="13"/>
    </row>
    <row r="62" spans="1:10" ht="16.5" customHeight="1">
      <c r="A62" s="167" t="s">
        <v>28</v>
      </c>
      <c r="B62" s="168"/>
      <c r="C62" s="168"/>
      <c r="D62" s="168"/>
      <c r="E62" s="168"/>
      <c r="F62" s="168"/>
      <c r="G62" s="193" t="s">
        <v>189</v>
      </c>
      <c r="H62" s="188" t="s">
        <v>97</v>
      </c>
      <c r="I62" s="175">
        <f>IF('UG-37'!I49&lt;=1,INPUTS!I44*INPUTS!I48*'UG-37'!I58+2*INPUTS!I43*INPUTS!I48*'UG-37'!I58*(1-'UG-37'!I49),INPUTS!I44*INPUTS!I48*'UG-37'!I58)</f>
        <v>4096.41024</v>
      </c>
      <c r="J62" s="21"/>
    </row>
    <row r="63" spans="1:10" ht="15.75">
      <c r="A63" s="159" t="s">
        <v>26</v>
      </c>
      <c r="B63" s="160"/>
      <c r="C63" s="160"/>
      <c r="D63" s="160"/>
      <c r="E63" s="160"/>
      <c r="F63" s="160"/>
      <c r="G63" s="169"/>
      <c r="H63" s="189"/>
      <c r="I63" s="173"/>
      <c r="J63" s="21"/>
    </row>
    <row r="64" spans="1:10" ht="12.75">
      <c r="A64" s="170"/>
      <c r="B64" s="171"/>
      <c r="C64" s="171"/>
      <c r="D64" s="171"/>
      <c r="E64" s="171"/>
      <c r="F64" s="171"/>
      <c r="G64" s="171"/>
      <c r="H64" s="171"/>
      <c r="I64" s="172"/>
      <c r="J64" s="21"/>
    </row>
    <row r="65" spans="1:10" ht="16.5" customHeight="1">
      <c r="A65" s="159" t="s">
        <v>29</v>
      </c>
      <c r="B65" s="160"/>
      <c r="C65" s="160"/>
      <c r="D65" s="160"/>
      <c r="E65" s="160"/>
      <c r="F65" s="160"/>
      <c r="G65" s="169" t="s">
        <v>22</v>
      </c>
      <c r="H65" s="169" t="s">
        <v>97</v>
      </c>
      <c r="I65" s="173">
        <f>MAX(INPUTS!I44*(INPUTS!I37*INPUTS!I42-'UG-37'!I58*INPUTS!I48)-2*INPUTS!I43*(INPUTS!I37*INPUTS!I42-'UG-37'!I58*INPUTS!I48)*(1-'UG-37'!I49),2*(INPUTS!I42+INPUTS!I43)*(INPUTS!I37*INPUTS!I42-'UG-37'!I58*INPUTS!I48)-2*INPUTS!I43*(INPUTS!I37*INPUTS!I42-'UG-37'!I58*INPUTS!I48)*(1-'UG-37'!I49))</f>
        <v>2215.1097600000003</v>
      </c>
      <c r="J65" s="21"/>
    </row>
    <row r="66" spans="1:10" ht="15.75">
      <c r="A66" s="159" t="s">
        <v>27</v>
      </c>
      <c r="B66" s="160"/>
      <c r="C66" s="160"/>
      <c r="D66" s="160"/>
      <c r="E66" s="160"/>
      <c r="F66" s="160"/>
      <c r="G66" s="169"/>
      <c r="H66" s="169"/>
      <c r="I66" s="173"/>
      <c r="J66" s="21"/>
    </row>
    <row r="67" spans="1:10" ht="12.75">
      <c r="A67" s="170"/>
      <c r="B67" s="171"/>
      <c r="C67" s="171"/>
      <c r="D67" s="171"/>
      <c r="E67" s="171"/>
      <c r="F67" s="171"/>
      <c r="G67" s="171"/>
      <c r="H67" s="171"/>
      <c r="I67" s="172"/>
      <c r="J67" s="21"/>
    </row>
    <row r="68" spans="1:10" ht="16.5" customHeight="1">
      <c r="A68" s="159" t="s">
        <v>30</v>
      </c>
      <c r="B68" s="160"/>
      <c r="C68" s="160"/>
      <c r="D68" s="160"/>
      <c r="E68" s="160"/>
      <c r="F68" s="160"/>
      <c r="G68" s="169" t="s">
        <v>23</v>
      </c>
      <c r="H68" s="169" t="s">
        <v>97</v>
      </c>
      <c r="I68" s="173">
        <f>MIN(5*'UG-37'!I49*INPUTS!I42*(INPUTS!I43-INPUTS!I47),2*'UG-37'!I49*(INPUTS!I43-INPUTS!I47)*(2.5*INPUTS!I43+INPUTS!I26))</f>
        <v>625.688641140237</v>
      </c>
      <c r="J68" s="21"/>
    </row>
    <row r="69" spans="1:10" ht="15.75">
      <c r="A69" s="159" t="s">
        <v>163</v>
      </c>
      <c r="B69" s="160"/>
      <c r="C69" s="160"/>
      <c r="D69" s="160"/>
      <c r="E69" s="160"/>
      <c r="F69" s="160"/>
      <c r="G69" s="169"/>
      <c r="H69" s="169"/>
      <c r="I69" s="173"/>
      <c r="J69" s="21"/>
    </row>
    <row r="70" spans="1:10" ht="12.75">
      <c r="A70" s="170"/>
      <c r="B70" s="171"/>
      <c r="C70" s="171"/>
      <c r="D70" s="171"/>
      <c r="E70" s="171"/>
      <c r="F70" s="171"/>
      <c r="G70" s="171"/>
      <c r="H70" s="171"/>
      <c r="I70" s="172"/>
      <c r="J70" s="21"/>
    </row>
    <row r="71" spans="1:10" ht="16.5" customHeight="1">
      <c r="A71" s="159" t="s">
        <v>254</v>
      </c>
      <c r="B71" s="160"/>
      <c r="C71" s="160"/>
      <c r="D71" s="160"/>
      <c r="E71" s="160"/>
      <c r="F71" s="160"/>
      <c r="G71" s="169" t="s">
        <v>212</v>
      </c>
      <c r="H71" s="169" t="s">
        <v>97</v>
      </c>
      <c r="I71" s="173">
        <f>IF(INPUTS!I25+2*INPUTS!I35&lt;2*INPUTS!I44,INPUTS!I35*INPUTS!I35+INPUTS!I36*INPUTS!I36,INPUTS!I36*INPUTS!I36)</f>
        <v>256</v>
      </c>
      <c r="J71" s="21"/>
    </row>
    <row r="72" spans="1:10" ht="15.75">
      <c r="A72" s="159" t="s">
        <v>190</v>
      </c>
      <c r="B72" s="160"/>
      <c r="C72" s="160"/>
      <c r="D72" s="160"/>
      <c r="E72" s="160"/>
      <c r="F72" s="160"/>
      <c r="G72" s="169"/>
      <c r="H72" s="169"/>
      <c r="I72" s="173"/>
      <c r="J72" s="21"/>
    </row>
    <row r="73" spans="1:10" ht="12.75">
      <c r="A73" s="170"/>
      <c r="B73" s="171"/>
      <c r="C73" s="171"/>
      <c r="D73" s="171"/>
      <c r="E73" s="171"/>
      <c r="F73" s="171"/>
      <c r="G73" s="171"/>
      <c r="H73" s="171"/>
      <c r="I73" s="172"/>
      <c r="J73" s="21"/>
    </row>
    <row r="74" spans="1:10" ht="16.5" customHeight="1">
      <c r="A74" s="159" t="s">
        <v>187</v>
      </c>
      <c r="B74" s="160"/>
      <c r="C74" s="160"/>
      <c r="D74" s="160"/>
      <c r="E74" s="160"/>
      <c r="F74" s="160"/>
      <c r="G74" s="169" t="s">
        <v>24</v>
      </c>
      <c r="H74" s="169" t="s">
        <v>97</v>
      </c>
      <c r="I74" s="173">
        <f>IF(OR(INPUTS!G16="set on nozzle with pad",INPUTS!G16="set in nozzle with pad"),IF(INPUTS!G27="YES",0.75*(MIN(INPUTS!I25,MAX(2*INPUTS!I44,2*('A-1-10'!I46+INPUTS!I43+INPUTS!I42)))-INPUTS!I17)*INPUTS!I26*'UG-37'!I55,(MIN(INPUTS!I25,MAX(2*INPUTS!I44,2*('A-1-10'!I46+INPUTS!I43+INPUTS!I42)))-INPUTS!I17)*INPUTS!I26*'UG-37'!I55),0)</f>
        <v>0</v>
      </c>
      <c r="J74" s="21"/>
    </row>
    <row r="75" spans="1:12" ht="15.75">
      <c r="A75" s="159" t="s">
        <v>169</v>
      </c>
      <c r="B75" s="160"/>
      <c r="C75" s="160"/>
      <c r="D75" s="160"/>
      <c r="E75" s="160"/>
      <c r="F75" s="160"/>
      <c r="G75" s="169"/>
      <c r="H75" s="169"/>
      <c r="I75" s="173"/>
      <c r="J75" s="21"/>
      <c r="L75" s="13"/>
    </row>
    <row r="76" spans="1:10" ht="12.75">
      <c r="A76" s="170"/>
      <c r="B76" s="171"/>
      <c r="C76" s="171"/>
      <c r="D76" s="171"/>
      <c r="E76" s="171"/>
      <c r="F76" s="171"/>
      <c r="G76" s="171"/>
      <c r="H76" s="171"/>
      <c r="I76" s="172"/>
      <c r="J76" s="21"/>
    </row>
    <row r="77" spans="1:10" ht="16.5" customHeight="1">
      <c r="A77" s="159" t="s">
        <v>193</v>
      </c>
      <c r="B77" s="160"/>
      <c r="C77" s="160"/>
      <c r="D77" s="160"/>
      <c r="E77" s="160"/>
      <c r="F77" s="160"/>
      <c r="G77" s="169" t="s">
        <v>200</v>
      </c>
      <c r="H77" s="169" t="s">
        <v>97</v>
      </c>
      <c r="I77" s="173">
        <f>IF(INPUTS!G16="self reinforcing nozzle",2*MIN(INPUTS!I30,'UG-37'!I45,INPUTS!I19)*(INPUTS!I32-INPUTS!I18)*'UG-37'!I49,0)</f>
        <v>0</v>
      </c>
      <c r="J77" s="21"/>
    </row>
    <row r="78" spans="1:10" ht="15.75">
      <c r="A78" s="159" t="s">
        <v>199</v>
      </c>
      <c r="B78" s="160"/>
      <c r="C78" s="160"/>
      <c r="D78" s="160"/>
      <c r="E78" s="160"/>
      <c r="F78" s="160"/>
      <c r="G78" s="169"/>
      <c r="H78" s="169"/>
      <c r="I78" s="173"/>
      <c r="J78" s="21"/>
    </row>
    <row r="79" spans="1:10" ht="12.75">
      <c r="A79" s="170"/>
      <c r="B79" s="171"/>
      <c r="C79" s="171"/>
      <c r="D79" s="171"/>
      <c r="E79" s="171"/>
      <c r="F79" s="171"/>
      <c r="G79" s="171"/>
      <c r="H79" s="171"/>
      <c r="I79" s="172"/>
      <c r="J79" s="21"/>
    </row>
    <row r="80" spans="1:10" ht="16.5" customHeight="1">
      <c r="A80" s="159" t="s">
        <v>194</v>
      </c>
      <c r="B80" s="160"/>
      <c r="C80" s="160"/>
      <c r="D80" s="160"/>
      <c r="E80" s="160"/>
      <c r="F80" s="160"/>
      <c r="G80" s="169" t="s">
        <v>201</v>
      </c>
      <c r="H80" s="169" t="s">
        <v>97</v>
      </c>
      <c r="I80" s="173">
        <f>IF(INPUTS!G16="self reinforcing nozzle",IF(INPUTS!I31=0,0,MAX('UG-37'!I45-INPUTS!I30,0)*((MAX('UG-37'!I45-INPUTS!I30,0)/INPUTS!I31)*(INPUTS!I32-INPUTS!I18))+(INPUTS!I32-INPUTS!I18-(MAX('UG-37'!I45-INPUTS!I30,0)/INPUTS!I31)*(INPUTS!I32-INPUTS!I18))*(MAX('UG-37'!I45-INPUTS!I30,0))*2),0)</f>
        <v>0</v>
      </c>
      <c r="J80" s="21"/>
    </row>
    <row r="81" spans="1:10" ht="15.75">
      <c r="A81" s="159" t="s">
        <v>203</v>
      </c>
      <c r="B81" s="160"/>
      <c r="C81" s="160"/>
      <c r="D81" s="160"/>
      <c r="E81" s="160"/>
      <c r="F81" s="160"/>
      <c r="G81" s="169"/>
      <c r="H81" s="169"/>
      <c r="I81" s="173"/>
      <c r="J81" s="21"/>
    </row>
    <row r="82" spans="1:10" ht="12.75">
      <c r="A82" s="170"/>
      <c r="B82" s="171"/>
      <c r="C82" s="171"/>
      <c r="D82" s="171"/>
      <c r="E82" s="171"/>
      <c r="F82" s="171"/>
      <c r="G82" s="171"/>
      <c r="H82" s="171"/>
      <c r="I82" s="172"/>
      <c r="J82" s="21"/>
    </row>
    <row r="83" spans="1:10" ht="16.5" customHeight="1">
      <c r="A83" s="159" t="s">
        <v>192</v>
      </c>
      <c r="B83" s="160"/>
      <c r="C83" s="160"/>
      <c r="D83" s="160"/>
      <c r="E83" s="160"/>
      <c r="F83" s="160"/>
      <c r="G83" s="169" t="s">
        <v>191</v>
      </c>
      <c r="H83" s="169" t="s">
        <v>97</v>
      </c>
      <c r="I83" s="173">
        <f>I77+I80</f>
        <v>0</v>
      </c>
      <c r="J83" s="21"/>
    </row>
    <row r="84" spans="1:10" ht="15.75">
      <c r="A84" s="159" t="s">
        <v>202</v>
      </c>
      <c r="B84" s="160"/>
      <c r="C84" s="160"/>
      <c r="D84" s="160"/>
      <c r="E84" s="160"/>
      <c r="F84" s="160"/>
      <c r="G84" s="169"/>
      <c r="H84" s="169"/>
      <c r="I84" s="173"/>
      <c r="J84" s="21"/>
    </row>
    <row r="85" spans="1:10" ht="12.75">
      <c r="A85" s="170"/>
      <c r="B85" s="171"/>
      <c r="C85" s="171"/>
      <c r="D85" s="171"/>
      <c r="E85" s="171"/>
      <c r="F85" s="171"/>
      <c r="G85" s="171"/>
      <c r="H85" s="171"/>
      <c r="I85" s="172"/>
      <c r="J85" s="21"/>
    </row>
    <row r="86" spans="1:10" ht="16.5" customHeight="1">
      <c r="A86" s="159" t="s">
        <v>83</v>
      </c>
      <c r="B86" s="160"/>
      <c r="C86" s="160"/>
      <c r="D86" s="160"/>
      <c r="E86" s="160"/>
      <c r="F86" s="160"/>
      <c r="G86" s="169" t="s">
        <v>37</v>
      </c>
      <c r="H86" s="178" t="s">
        <v>97</v>
      </c>
      <c r="I86" s="173">
        <f>I65+I68+I71+I74+I83</f>
        <v>3096.7984011402373</v>
      </c>
      <c r="J86" s="21"/>
    </row>
    <row r="87" spans="1:10" ht="16.5" thickBot="1">
      <c r="A87" s="176" t="s">
        <v>210</v>
      </c>
      <c r="B87" s="177"/>
      <c r="C87" s="177"/>
      <c r="D87" s="177"/>
      <c r="E87" s="177"/>
      <c r="F87" s="177"/>
      <c r="G87" s="178"/>
      <c r="H87" s="183"/>
      <c r="I87" s="174"/>
      <c r="J87" s="20"/>
    </row>
    <row r="88" spans="1:9" ht="18" customHeight="1">
      <c r="A88" s="184" t="str">
        <f>IF('UG-37'!I62&lt;='UG-37'!I86,UPPER("opening is adequately reinforced"),UPPER("opening is not adequately reinforced, increase thickness of reinforcing elements"))</f>
        <v>OPENING IS NOT ADEQUATELY REINFORCED, INCREASE THICKNESS OF REINFORCING ELEMENTS</v>
      </c>
      <c r="B88" s="184"/>
      <c r="C88" s="184"/>
      <c r="D88" s="184"/>
      <c r="E88" s="184"/>
      <c r="F88" s="184"/>
      <c r="G88" s="184"/>
      <c r="H88" s="184"/>
      <c r="I88" s="185"/>
    </row>
    <row r="89" spans="1:9" ht="17.25" customHeight="1" thickBot="1">
      <c r="A89" s="186"/>
      <c r="B89" s="186"/>
      <c r="C89" s="186"/>
      <c r="D89" s="186"/>
      <c r="E89" s="186"/>
      <c r="F89" s="186"/>
      <c r="G89" s="186"/>
      <c r="H89" s="186"/>
      <c r="I89" s="187"/>
    </row>
    <row r="90" spans="1:9" ht="12.75">
      <c r="A90" s="13"/>
      <c r="B90" s="13"/>
      <c r="C90" s="13"/>
      <c r="D90" s="13"/>
      <c r="E90" s="13"/>
      <c r="F90" s="13"/>
      <c r="G90" s="13"/>
      <c r="H90" s="13"/>
      <c r="I90" s="13"/>
    </row>
    <row r="91" spans="1:13" ht="12.75">
      <c r="A91" s="1"/>
      <c r="B91" s="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3:13" ht="12.75">
      <c r="C92" s="19"/>
      <c r="D92" s="20"/>
      <c r="E92" s="20"/>
      <c r="F92" s="20"/>
      <c r="G92" s="20"/>
      <c r="H92" s="20"/>
      <c r="I92" s="20"/>
      <c r="J92" s="20"/>
      <c r="K92" s="20"/>
      <c r="L92" s="19"/>
      <c r="M92" s="19"/>
    </row>
    <row r="93" spans="3:13" ht="12.75">
      <c r="C93" s="19"/>
      <c r="D93" s="20"/>
      <c r="E93" s="20"/>
      <c r="F93" s="20"/>
      <c r="G93" s="20"/>
      <c r="H93" s="20"/>
      <c r="I93" s="20"/>
      <c r="J93" s="20"/>
      <c r="K93" s="20"/>
      <c r="L93" s="19"/>
      <c r="M93" s="19"/>
    </row>
    <row r="94" spans="3:13" ht="12.75">
      <c r="C94" s="19"/>
      <c r="D94" s="20"/>
      <c r="E94" s="20"/>
      <c r="F94" s="20"/>
      <c r="G94" s="20"/>
      <c r="H94" s="20"/>
      <c r="I94" s="20"/>
      <c r="J94" s="20"/>
      <c r="K94" s="20"/>
      <c r="L94" s="19"/>
      <c r="M94" s="19"/>
    </row>
    <row r="95" spans="3:13" ht="12.75">
      <c r="C95" s="19"/>
      <c r="D95" s="20"/>
      <c r="E95" s="20"/>
      <c r="F95" s="20"/>
      <c r="G95" s="20"/>
      <c r="H95" s="20"/>
      <c r="I95" s="20"/>
      <c r="J95" s="20"/>
      <c r="K95" s="20"/>
      <c r="L95" s="19"/>
      <c r="M95" s="19"/>
    </row>
    <row r="96" spans="3:13" ht="12.75">
      <c r="C96" s="19"/>
      <c r="D96" s="20"/>
      <c r="E96" s="20"/>
      <c r="F96" s="20"/>
      <c r="G96" s="20"/>
      <c r="H96" s="20"/>
      <c r="I96" s="20"/>
      <c r="J96" s="20"/>
      <c r="K96" s="20"/>
      <c r="L96" s="19"/>
      <c r="M96" s="19"/>
    </row>
    <row r="97" spans="1:13" ht="12.75" hidden="1">
      <c r="A97" s="1"/>
      <c r="B97" s="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20"/>
    </row>
    <row r="98" ht="12.75" hidden="1"/>
    <row r="99" spans="1:9" ht="15.75" hidden="1">
      <c r="A99" s="1"/>
      <c r="B99" s="182" t="s">
        <v>21</v>
      </c>
      <c r="C99" s="182"/>
      <c r="D99" s="182"/>
      <c r="E99" s="182"/>
      <c r="F99" s="182" t="s">
        <v>20</v>
      </c>
      <c r="G99" s="182"/>
      <c r="H99" s="182"/>
      <c r="I99" s="1"/>
    </row>
    <row r="100" spans="1:9" ht="13.5" hidden="1" thickBo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3.5" hidden="1" thickBot="1">
      <c r="A101" s="1"/>
      <c r="B101" s="179">
        <v>6</v>
      </c>
      <c r="C101" s="180"/>
      <c r="D101" s="180"/>
      <c r="E101" s="181"/>
      <c r="F101" s="179">
        <v>1.51</v>
      </c>
      <c r="G101" s="180"/>
      <c r="H101" s="181"/>
      <c r="I101" s="1"/>
    </row>
    <row r="102" spans="1:9" ht="13.5" hidden="1" thickBot="1">
      <c r="A102" s="1"/>
      <c r="B102" s="179">
        <v>8</v>
      </c>
      <c r="C102" s="180"/>
      <c r="D102" s="180"/>
      <c r="E102" s="181"/>
      <c r="F102" s="179">
        <v>1.96</v>
      </c>
      <c r="G102" s="180"/>
      <c r="H102" s="181"/>
      <c r="I102" s="1"/>
    </row>
    <row r="103" spans="1:9" ht="13.5" hidden="1" thickBot="1">
      <c r="A103" s="1"/>
      <c r="B103" s="179">
        <v>10</v>
      </c>
      <c r="C103" s="180"/>
      <c r="D103" s="180"/>
      <c r="E103" s="181"/>
      <c r="F103" s="179">
        <v>2.02</v>
      </c>
      <c r="G103" s="180"/>
      <c r="H103" s="181"/>
      <c r="I103" s="1"/>
    </row>
    <row r="104" spans="1:9" ht="13.5" hidden="1" thickBot="1">
      <c r="A104" s="1"/>
      <c r="B104" s="179">
        <v>15</v>
      </c>
      <c r="C104" s="180"/>
      <c r="D104" s="180"/>
      <c r="E104" s="181"/>
      <c r="F104" s="179">
        <v>2.42</v>
      </c>
      <c r="G104" s="180"/>
      <c r="H104" s="181"/>
      <c r="I104" s="1"/>
    </row>
    <row r="105" spans="1:9" ht="13.5" hidden="1" thickBot="1">
      <c r="A105" s="1"/>
      <c r="B105" s="179">
        <v>20</v>
      </c>
      <c r="C105" s="180"/>
      <c r="D105" s="180"/>
      <c r="E105" s="181"/>
      <c r="F105" s="179">
        <v>2.51</v>
      </c>
      <c r="G105" s="180"/>
      <c r="H105" s="181"/>
      <c r="I105" s="1"/>
    </row>
    <row r="106" spans="1:9" ht="13.5" hidden="1" thickBot="1">
      <c r="A106" s="1"/>
      <c r="B106" s="179">
        <v>25</v>
      </c>
      <c r="C106" s="180"/>
      <c r="D106" s="180"/>
      <c r="E106" s="181"/>
      <c r="F106" s="179">
        <v>2.96</v>
      </c>
      <c r="G106" s="180"/>
      <c r="H106" s="181"/>
      <c r="I106" s="1"/>
    </row>
    <row r="107" spans="1:9" ht="13.5" hidden="1" thickBot="1">
      <c r="A107" s="1"/>
      <c r="B107" s="179">
        <v>32</v>
      </c>
      <c r="C107" s="180"/>
      <c r="D107" s="180"/>
      <c r="E107" s="181"/>
      <c r="F107" s="179">
        <v>3.12</v>
      </c>
      <c r="G107" s="180"/>
      <c r="H107" s="181"/>
      <c r="I107" s="1"/>
    </row>
    <row r="108" spans="1:9" ht="13.5" hidden="1" thickBot="1">
      <c r="A108" s="1"/>
      <c r="B108" s="179">
        <v>40</v>
      </c>
      <c r="C108" s="180"/>
      <c r="D108" s="180"/>
      <c r="E108" s="181"/>
      <c r="F108" s="179">
        <v>3.22</v>
      </c>
      <c r="G108" s="180"/>
      <c r="H108" s="181"/>
      <c r="I108" s="1"/>
    </row>
    <row r="109" spans="1:9" ht="13.5" hidden="1" thickBot="1">
      <c r="A109" s="1"/>
      <c r="B109" s="179">
        <v>50</v>
      </c>
      <c r="C109" s="180"/>
      <c r="D109" s="180"/>
      <c r="E109" s="181"/>
      <c r="F109" s="179">
        <v>3.42</v>
      </c>
      <c r="G109" s="180"/>
      <c r="H109" s="181"/>
      <c r="I109" s="1"/>
    </row>
    <row r="110" spans="1:9" ht="13.5" hidden="1" thickBot="1">
      <c r="A110" s="1"/>
      <c r="B110" s="179">
        <v>65</v>
      </c>
      <c r="C110" s="180"/>
      <c r="D110" s="180"/>
      <c r="E110" s="181"/>
      <c r="F110" s="179">
        <v>4.52</v>
      </c>
      <c r="G110" s="180"/>
      <c r="H110" s="181"/>
      <c r="I110" s="1"/>
    </row>
    <row r="111" spans="1:9" ht="13.5" hidden="1" thickBot="1">
      <c r="A111" s="1"/>
      <c r="B111" s="179">
        <v>80</v>
      </c>
      <c r="C111" s="180"/>
      <c r="D111" s="180"/>
      <c r="E111" s="181"/>
      <c r="F111" s="179">
        <v>4.8</v>
      </c>
      <c r="G111" s="180"/>
      <c r="H111" s="181"/>
      <c r="I111" s="1"/>
    </row>
    <row r="112" spans="1:9" ht="13.5" hidden="1" thickBot="1">
      <c r="A112" s="1"/>
      <c r="B112" s="179">
        <v>90</v>
      </c>
      <c r="C112" s="180"/>
      <c r="D112" s="180"/>
      <c r="E112" s="181"/>
      <c r="F112" s="179">
        <v>5.02</v>
      </c>
      <c r="G112" s="180"/>
      <c r="H112" s="181"/>
      <c r="I112" s="1"/>
    </row>
    <row r="113" spans="1:9" ht="13.5" hidden="1" thickBot="1">
      <c r="A113" s="1"/>
      <c r="B113" s="179">
        <v>100</v>
      </c>
      <c r="C113" s="180"/>
      <c r="D113" s="180"/>
      <c r="E113" s="181"/>
      <c r="F113" s="179">
        <v>5.27</v>
      </c>
      <c r="G113" s="180"/>
      <c r="H113" s="181"/>
      <c r="I113" s="1"/>
    </row>
    <row r="114" spans="1:9" ht="13.5" hidden="1" thickBot="1">
      <c r="A114" s="1"/>
      <c r="B114" s="179">
        <v>125</v>
      </c>
      <c r="C114" s="180"/>
      <c r="D114" s="180"/>
      <c r="E114" s="181"/>
      <c r="F114" s="179">
        <v>5.73</v>
      </c>
      <c r="G114" s="180"/>
      <c r="H114" s="181"/>
      <c r="I114" s="1"/>
    </row>
    <row r="115" spans="1:9" ht="13.5" hidden="1" thickBot="1">
      <c r="A115" s="1"/>
      <c r="B115" s="179">
        <v>150</v>
      </c>
      <c r="C115" s="180"/>
      <c r="D115" s="180"/>
      <c r="E115" s="181"/>
      <c r="F115" s="179">
        <v>6.22</v>
      </c>
      <c r="G115" s="180"/>
      <c r="H115" s="181"/>
      <c r="I115" s="1"/>
    </row>
    <row r="116" spans="1:9" ht="13.5" hidden="1" thickBot="1">
      <c r="A116" s="1"/>
      <c r="B116" s="179">
        <v>200</v>
      </c>
      <c r="C116" s="180"/>
      <c r="D116" s="180"/>
      <c r="E116" s="181"/>
      <c r="F116" s="179">
        <v>7.16</v>
      </c>
      <c r="G116" s="180"/>
      <c r="H116" s="181"/>
      <c r="I116" s="1"/>
    </row>
    <row r="117" spans="1:9" ht="13.5" hidden="1" thickBot="1">
      <c r="A117" s="1"/>
      <c r="B117" s="179">
        <v>250</v>
      </c>
      <c r="C117" s="180"/>
      <c r="D117" s="180"/>
      <c r="E117" s="181"/>
      <c r="F117" s="179">
        <v>8.11</v>
      </c>
      <c r="G117" s="180"/>
      <c r="H117" s="181"/>
      <c r="I117" s="1"/>
    </row>
    <row r="118" spans="1:9" ht="13.5" hidden="1" thickBot="1">
      <c r="A118" s="1"/>
      <c r="B118" s="179">
        <v>300</v>
      </c>
      <c r="C118" s="180"/>
      <c r="D118" s="180"/>
      <c r="E118" s="181"/>
      <c r="F118" s="179">
        <v>8.34</v>
      </c>
      <c r="G118" s="180"/>
      <c r="H118" s="181"/>
      <c r="I118" s="1"/>
    </row>
    <row r="119" spans="1:9" ht="12.75" hidden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26.25" hidden="1">
      <c r="A120" s="1"/>
      <c r="B120" s="1"/>
      <c r="D120" s="4"/>
      <c r="E120" s="4"/>
      <c r="F120" s="4"/>
      <c r="G120" s="4"/>
      <c r="H120" s="1"/>
      <c r="I120" s="1"/>
    </row>
  </sheetData>
  <sheetProtection password="CD2A" sheet="1"/>
  <mergeCells count="161">
    <mergeCell ref="I77:I78"/>
    <mergeCell ref="G80:G81"/>
    <mergeCell ref="A1:I1"/>
    <mergeCell ref="A48:I48"/>
    <mergeCell ref="A39:I39"/>
    <mergeCell ref="A33:I33"/>
    <mergeCell ref="A36:I36"/>
    <mergeCell ref="A43:F43"/>
    <mergeCell ref="A44:I44"/>
    <mergeCell ref="A45:F45"/>
    <mergeCell ref="A51:I51"/>
    <mergeCell ref="A54:I54"/>
    <mergeCell ref="I74:I75"/>
    <mergeCell ref="I42:I43"/>
    <mergeCell ref="H65:H66"/>
    <mergeCell ref="H68:H69"/>
    <mergeCell ref="H71:H72"/>
    <mergeCell ref="I52:I53"/>
    <mergeCell ref="A46:F46"/>
    <mergeCell ref="I49:I50"/>
    <mergeCell ref="I45:I46"/>
    <mergeCell ref="G49:G50"/>
    <mergeCell ref="G45:G46"/>
    <mergeCell ref="H45:H46"/>
    <mergeCell ref="G52:G53"/>
    <mergeCell ref="G55:G56"/>
    <mergeCell ref="G58:G59"/>
    <mergeCell ref="A62:F62"/>
    <mergeCell ref="A41:I41"/>
    <mergeCell ref="A42:F42"/>
    <mergeCell ref="G42:G43"/>
    <mergeCell ref="H42:H43"/>
    <mergeCell ref="H49:H50"/>
    <mergeCell ref="A47:I47"/>
    <mergeCell ref="B116:E116"/>
    <mergeCell ref="F118:H118"/>
    <mergeCell ref="F111:H111"/>
    <mergeCell ref="F113:H113"/>
    <mergeCell ref="H62:H63"/>
    <mergeCell ref="H52:H53"/>
    <mergeCell ref="H55:H56"/>
    <mergeCell ref="A57:I57"/>
    <mergeCell ref="A60:I60"/>
    <mergeCell ref="G62:G63"/>
    <mergeCell ref="F108:H108"/>
    <mergeCell ref="F102:H102"/>
    <mergeCell ref="F110:H110"/>
    <mergeCell ref="F103:H103"/>
    <mergeCell ref="B118:E118"/>
    <mergeCell ref="F109:H109"/>
    <mergeCell ref="B117:E117"/>
    <mergeCell ref="B113:E113"/>
    <mergeCell ref="B114:E114"/>
    <mergeCell ref="B111:E111"/>
    <mergeCell ref="A88:I89"/>
    <mergeCell ref="B103:E103"/>
    <mergeCell ref="B107:E107"/>
    <mergeCell ref="B106:E106"/>
    <mergeCell ref="F105:H105"/>
    <mergeCell ref="F106:H106"/>
    <mergeCell ref="F99:H99"/>
    <mergeCell ref="F107:H107"/>
    <mergeCell ref="F117:H117"/>
    <mergeCell ref="B105:E105"/>
    <mergeCell ref="B112:E112"/>
    <mergeCell ref="B115:E115"/>
    <mergeCell ref="B110:E110"/>
    <mergeCell ref="B109:E109"/>
    <mergeCell ref="F112:H112"/>
    <mergeCell ref="F114:H114"/>
    <mergeCell ref="F115:H115"/>
    <mergeCell ref="F116:H116"/>
    <mergeCell ref="A84:F84"/>
    <mergeCell ref="B108:E108"/>
    <mergeCell ref="F104:H104"/>
    <mergeCell ref="B104:E104"/>
    <mergeCell ref="B99:E99"/>
    <mergeCell ref="B102:E102"/>
    <mergeCell ref="H83:H84"/>
    <mergeCell ref="H86:H87"/>
    <mergeCell ref="F101:H101"/>
    <mergeCell ref="B101:E101"/>
    <mergeCell ref="G68:G69"/>
    <mergeCell ref="G71:G72"/>
    <mergeCell ref="G74:G75"/>
    <mergeCell ref="A87:F87"/>
    <mergeCell ref="A74:F74"/>
    <mergeCell ref="A77:F77"/>
    <mergeCell ref="A70:I70"/>
    <mergeCell ref="G86:G87"/>
    <mergeCell ref="G83:G84"/>
    <mergeCell ref="A85:I85"/>
    <mergeCell ref="I83:I84"/>
    <mergeCell ref="I62:I63"/>
    <mergeCell ref="I65:I66"/>
    <mergeCell ref="I68:I69"/>
    <mergeCell ref="I71:I72"/>
    <mergeCell ref="K39:O39"/>
    <mergeCell ref="A73:I73"/>
    <mergeCell ref="A76:I76"/>
    <mergeCell ref="A79:I79"/>
    <mergeCell ref="A65:F65"/>
    <mergeCell ref="A71:F71"/>
    <mergeCell ref="A75:F75"/>
    <mergeCell ref="A78:F78"/>
    <mergeCell ref="A55:F55"/>
    <mergeCell ref="A56:F56"/>
    <mergeCell ref="A58:F58"/>
    <mergeCell ref="A69:F69"/>
    <mergeCell ref="A72:F72"/>
    <mergeCell ref="A68:F68"/>
    <mergeCell ref="H74:H75"/>
    <mergeCell ref="G77:G78"/>
    <mergeCell ref="A53:F53"/>
    <mergeCell ref="H58:H59"/>
    <mergeCell ref="A59:F59"/>
    <mergeCell ref="I55:I56"/>
    <mergeCell ref="I58:I59"/>
    <mergeCell ref="H77:H78"/>
    <mergeCell ref="A64:I64"/>
    <mergeCell ref="A67:I67"/>
    <mergeCell ref="A50:F50"/>
    <mergeCell ref="G65:G66"/>
    <mergeCell ref="A66:F66"/>
    <mergeCell ref="A86:F86"/>
    <mergeCell ref="A80:F80"/>
    <mergeCell ref="A83:F83"/>
    <mergeCell ref="A82:I82"/>
    <mergeCell ref="H80:H81"/>
    <mergeCell ref="I80:I81"/>
    <mergeCell ref="I86:I87"/>
    <mergeCell ref="A30:I30"/>
    <mergeCell ref="A81:F81"/>
    <mergeCell ref="A32:G32"/>
    <mergeCell ref="A34:G34"/>
    <mergeCell ref="A35:G35"/>
    <mergeCell ref="H34:H35"/>
    <mergeCell ref="I34:I35"/>
    <mergeCell ref="A63:F63"/>
    <mergeCell ref="A61:I61"/>
    <mergeCell ref="A49:F49"/>
    <mergeCell ref="A37:G37"/>
    <mergeCell ref="A52:F52"/>
    <mergeCell ref="H37:H38"/>
    <mergeCell ref="I37:I38"/>
    <mergeCell ref="A24:I24"/>
    <mergeCell ref="A25:G25"/>
    <mergeCell ref="A26:G26"/>
    <mergeCell ref="A28:G28"/>
    <mergeCell ref="A29:G29"/>
    <mergeCell ref="A27:I27"/>
    <mergeCell ref="A38:G38"/>
    <mergeCell ref="A31:G31"/>
    <mergeCell ref="A40:I40"/>
    <mergeCell ref="K42:S42"/>
    <mergeCell ref="H25:H26"/>
    <mergeCell ref="I25:I26"/>
    <mergeCell ref="H28:H29"/>
    <mergeCell ref="I28:I29"/>
    <mergeCell ref="H31:H32"/>
    <mergeCell ref="I31:I32"/>
  </mergeCells>
  <conditionalFormatting sqref="A88">
    <cfRule type="cellIs" priority="1" dxfId="10" operator="equal" stopIfTrue="1">
      <formula>"opening is adequately reinforced"</formula>
    </cfRule>
    <cfRule type="cellIs" priority="2" dxfId="0" operator="equal" stopIfTrue="1">
      <formula>"opening is not adequately reinforced, increase thickness of reinforcing elements"</formula>
    </cfRule>
  </conditionalFormatting>
  <conditionalFormatting sqref="A40">
    <cfRule type="cellIs" priority="5" dxfId="10" operator="equal" stopIfTrue="1">
      <formula>"Provided nozzle wall thickness is sufficient"</formula>
    </cfRule>
  </conditionalFormatting>
  <conditionalFormatting sqref="A39:I39">
    <cfRule type="cellIs" priority="6" dxfId="10" operator="equal" stopIfTrue="1">
      <formula>"Provided nozzle wall thickness is sufficient"</formula>
    </cfRule>
    <cfRule type="cellIs" priority="7" dxfId="0" operator="equal" stopIfTrue="1">
      <formula>"Provided nozzle wall thickness is insufficient"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1"/>
  <sheetViews>
    <sheetView zoomScalePageLayoutView="0" workbookViewId="0" topLeftCell="A1">
      <selection activeCell="K11" sqref="K11"/>
    </sheetView>
  </sheetViews>
  <sheetFormatPr defaultColWidth="9.140625" defaultRowHeight="12.75"/>
  <sheetData>
    <row r="1" spans="1:10" ht="12.75" customHeight="1">
      <c r="A1" s="237" t="str">
        <f>UPPER("Calculation by appendix 1-10")</f>
        <v>CALCULATION BY APPENDIX 1-10</v>
      </c>
      <c r="B1" s="238"/>
      <c r="C1" s="238"/>
      <c r="D1" s="238"/>
      <c r="E1" s="238"/>
      <c r="F1" s="238"/>
      <c r="G1" s="238"/>
      <c r="H1" s="238"/>
      <c r="I1" s="239"/>
      <c r="J1" s="13"/>
    </row>
    <row r="2" spans="1:10" ht="12.75" customHeight="1" thickBot="1">
      <c r="A2" s="240"/>
      <c r="B2" s="241"/>
      <c r="C2" s="241"/>
      <c r="D2" s="241"/>
      <c r="E2" s="241"/>
      <c r="F2" s="241"/>
      <c r="G2" s="241"/>
      <c r="H2" s="241"/>
      <c r="I2" s="242"/>
      <c r="J2" s="13"/>
    </row>
    <row r="3" spans="1:10" ht="12.75">
      <c r="A3" s="12"/>
      <c r="B3" s="13"/>
      <c r="C3" s="13"/>
      <c r="D3" s="13"/>
      <c r="E3" s="13"/>
      <c r="F3" s="13"/>
      <c r="G3" s="13"/>
      <c r="H3" s="13"/>
      <c r="I3" s="14"/>
      <c r="J3" s="13"/>
    </row>
    <row r="4" spans="1:10" ht="12.75">
      <c r="A4" s="12"/>
      <c r="B4" s="13"/>
      <c r="C4" s="13"/>
      <c r="D4" s="13"/>
      <c r="E4" s="13"/>
      <c r="F4" s="13"/>
      <c r="G4" s="13"/>
      <c r="H4" s="13"/>
      <c r="I4" s="14"/>
      <c r="J4" s="13"/>
    </row>
    <row r="5" spans="1:10" ht="12.75">
      <c r="A5" s="12"/>
      <c r="B5" s="13"/>
      <c r="C5" s="13"/>
      <c r="D5" s="13"/>
      <c r="E5" s="13"/>
      <c r="F5" s="13"/>
      <c r="G5" s="13"/>
      <c r="H5" s="13"/>
      <c r="I5" s="14"/>
      <c r="J5" s="13"/>
    </row>
    <row r="6" spans="1:10" ht="12.75">
      <c r="A6" s="12"/>
      <c r="B6" s="13"/>
      <c r="C6" s="13"/>
      <c r="D6" s="13"/>
      <c r="E6" s="13"/>
      <c r="F6" s="13"/>
      <c r="G6" s="13"/>
      <c r="H6" s="13"/>
      <c r="I6" s="14"/>
      <c r="J6" s="13"/>
    </row>
    <row r="7" spans="1:10" ht="12.75">
      <c r="A7" s="12"/>
      <c r="B7" s="13"/>
      <c r="C7" s="13"/>
      <c r="D7" s="13"/>
      <c r="E7" s="13"/>
      <c r="F7" s="13"/>
      <c r="G7" s="13"/>
      <c r="H7" s="13"/>
      <c r="I7" s="14"/>
      <c r="J7" s="13"/>
    </row>
    <row r="8" spans="1:10" ht="12.75">
      <c r="A8" s="12"/>
      <c r="B8" s="13"/>
      <c r="C8" s="13"/>
      <c r="D8" s="13"/>
      <c r="E8" s="13"/>
      <c r="F8" s="13"/>
      <c r="G8" s="13"/>
      <c r="H8" s="13"/>
      <c r="I8" s="14"/>
      <c r="J8" s="13"/>
    </row>
    <row r="9" spans="1:10" ht="12.75">
      <c r="A9" s="12"/>
      <c r="B9" s="13"/>
      <c r="C9" s="13"/>
      <c r="D9" s="13"/>
      <c r="E9" s="13"/>
      <c r="F9" s="13"/>
      <c r="G9" s="13"/>
      <c r="H9" s="13"/>
      <c r="I9" s="14"/>
      <c r="J9" s="13"/>
    </row>
    <row r="10" spans="1:10" ht="12.75">
      <c r="A10" s="12"/>
      <c r="B10" s="13"/>
      <c r="C10" s="13"/>
      <c r="D10" s="13"/>
      <c r="E10" s="13"/>
      <c r="F10" s="13"/>
      <c r="G10" s="13"/>
      <c r="H10" s="13"/>
      <c r="I10" s="14"/>
      <c r="J10" s="13"/>
    </row>
    <row r="11" spans="1:10" ht="12.75">
      <c r="A11" s="12"/>
      <c r="B11" s="13"/>
      <c r="C11" s="13"/>
      <c r="D11" s="13"/>
      <c r="E11" s="13"/>
      <c r="F11" s="13"/>
      <c r="G11" s="13"/>
      <c r="H11" s="13"/>
      <c r="I11" s="14"/>
      <c r="J11" s="13"/>
    </row>
    <row r="12" spans="1:10" ht="12.75">
      <c r="A12" s="12"/>
      <c r="B12" s="13"/>
      <c r="C12" s="13"/>
      <c r="D12" s="13"/>
      <c r="E12" s="13"/>
      <c r="F12" s="13"/>
      <c r="G12" s="13"/>
      <c r="H12" s="13"/>
      <c r="I12" s="14"/>
      <c r="J12" s="13"/>
    </row>
    <row r="13" spans="1:10" ht="12.75">
      <c r="A13" s="12"/>
      <c r="B13" s="13"/>
      <c r="C13" s="13"/>
      <c r="D13" s="13"/>
      <c r="E13" s="13"/>
      <c r="F13" s="13"/>
      <c r="G13" s="13"/>
      <c r="H13" s="13"/>
      <c r="I13" s="14"/>
      <c r="J13" s="13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4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4"/>
      <c r="J15" s="13"/>
    </row>
    <row r="16" spans="1:10" ht="12.75">
      <c r="A16" s="12"/>
      <c r="B16" s="13"/>
      <c r="C16" s="13"/>
      <c r="D16" s="13"/>
      <c r="E16" s="13"/>
      <c r="F16" s="13"/>
      <c r="G16" s="13"/>
      <c r="H16" s="13"/>
      <c r="I16" s="14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4"/>
      <c r="J17" s="13"/>
    </row>
    <row r="18" spans="1:10" ht="12.75">
      <c r="A18" s="12"/>
      <c r="B18" s="13"/>
      <c r="C18" s="13"/>
      <c r="D18" s="13"/>
      <c r="E18" s="13"/>
      <c r="F18" s="13"/>
      <c r="G18" s="13"/>
      <c r="H18" s="13"/>
      <c r="I18" s="14"/>
      <c r="J18" s="13"/>
    </row>
    <row r="19" spans="1:10" ht="12.75">
      <c r="A19" s="12"/>
      <c r="B19" s="13"/>
      <c r="C19" s="13"/>
      <c r="D19" s="13"/>
      <c r="E19" s="13"/>
      <c r="F19" s="13"/>
      <c r="G19" s="13"/>
      <c r="H19" s="13"/>
      <c r="I19" s="14"/>
      <c r="J19" s="13"/>
    </row>
    <row r="20" spans="1:10" ht="12.75">
      <c r="A20" s="12"/>
      <c r="B20" s="13"/>
      <c r="C20" s="13"/>
      <c r="D20" s="13"/>
      <c r="E20" s="13"/>
      <c r="F20" s="13"/>
      <c r="G20" s="13"/>
      <c r="H20" s="13"/>
      <c r="I20" s="14"/>
      <c r="J20" s="13"/>
    </row>
    <row r="21" spans="1:10" ht="12.75">
      <c r="A21" s="12"/>
      <c r="B21" s="13"/>
      <c r="C21" s="13"/>
      <c r="D21" s="13"/>
      <c r="E21" s="13"/>
      <c r="F21" s="13"/>
      <c r="G21" s="13"/>
      <c r="H21" s="13"/>
      <c r="I21" s="14"/>
      <c r="J21" s="13"/>
    </row>
    <row r="22" spans="1:10" ht="12.75">
      <c r="A22" s="12"/>
      <c r="B22" s="13"/>
      <c r="C22" s="13"/>
      <c r="D22" s="13"/>
      <c r="E22" s="13"/>
      <c r="F22" s="13"/>
      <c r="G22" s="13"/>
      <c r="H22" s="13"/>
      <c r="I22" s="14"/>
      <c r="J22" s="13"/>
    </row>
    <row r="23" spans="1:10" ht="12.75">
      <c r="A23" s="12"/>
      <c r="B23" s="13"/>
      <c r="C23" s="13"/>
      <c r="D23" s="13"/>
      <c r="E23" s="13"/>
      <c r="F23" s="13"/>
      <c r="G23" s="13"/>
      <c r="H23" s="13"/>
      <c r="I23" s="14"/>
      <c r="J23" s="13"/>
    </row>
    <row r="24" spans="1:10" ht="12.75">
      <c r="A24" s="12"/>
      <c r="B24" s="13"/>
      <c r="C24" s="13"/>
      <c r="D24" s="13"/>
      <c r="E24" s="13"/>
      <c r="F24" s="13"/>
      <c r="G24" s="13"/>
      <c r="H24" s="13"/>
      <c r="I24" s="14"/>
      <c r="J24" s="13"/>
    </row>
    <row r="25" spans="1:10" ht="12.75">
      <c r="A25" s="12"/>
      <c r="B25" s="13"/>
      <c r="C25" s="13"/>
      <c r="D25" s="13"/>
      <c r="E25" s="13"/>
      <c r="F25" s="13"/>
      <c r="G25" s="13"/>
      <c r="H25" s="13"/>
      <c r="I25" s="14"/>
      <c r="J25" s="13"/>
    </row>
    <row r="26" spans="1:10" ht="12.75">
      <c r="A26" s="12"/>
      <c r="B26" s="13"/>
      <c r="C26" s="13"/>
      <c r="D26" s="13"/>
      <c r="E26" s="13"/>
      <c r="F26" s="13"/>
      <c r="G26" s="13"/>
      <c r="H26" s="13"/>
      <c r="I26" s="14"/>
      <c r="J26" s="13"/>
    </row>
    <row r="27" spans="1:10" ht="13.5" thickBot="1">
      <c r="A27" s="12"/>
      <c r="B27" s="13"/>
      <c r="C27" s="13"/>
      <c r="D27" s="13"/>
      <c r="E27" s="13"/>
      <c r="F27" s="13"/>
      <c r="G27" s="13"/>
      <c r="H27" s="13"/>
      <c r="I27" s="14"/>
      <c r="J27" s="13"/>
    </row>
    <row r="28" spans="1:10" ht="13.5" thickBot="1">
      <c r="A28" s="162" t="s">
        <v>296</v>
      </c>
      <c r="B28" s="163"/>
      <c r="C28" s="163"/>
      <c r="D28" s="163"/>
      <c r="E28" s="163"/>
      <c r="F28" s="163"/>
      <c r="G28" s="163"/>
      <c r="H28" s="163"/>
      <c r="I28" s="164"/>
      <c r="J28" s="13"/>
    </row>
    <row r="29" spans="1:10" ht="15.75">
      <c r="A29" s="165" t="s">
        <v>15</v>
      </c>
      <c r="B29" s="165"/>
      <c r="C29" s="165"/>
      <c r="D29" s="165"/>
      <c r="E29" s="165"/>
      <c r="F29" s="165"/>
      <c r="G29" s="165"/>
      <c r="H29" s="157" t="s">
        <v>11</v>
      </c>
      <c r="I29" s="157">
        <f>'UG-37'!I25</f>
        <v>4.4131733122178325</v>
      </c>
      <c r="J29" s="13"/>
    </row>
    <row r="30" spans="1:10" ht="15.75">
      <c r="A30" s="153" t="s">
        <v>183</v>
      </c>
      <c r="B30" s="153"/>
      <c r="C30" s="153"/>
      <c r="D30" s="153"/>
      <c r="E30" s="153"/>
      <c r="F30" s="153"/>
      <c r="G30" s="153"/>
      <c r="H30" s="158"/>
      <c r="I30" s="158"/>
      <c r="J30" s="13"/>
    </row>
    <row r="31" spans="1:10" ht="12.75">
      <c r="A31" s="166"/>
      <c r="B31" s="166"/>
      <c r="C31" s="166"/>
      <c r="D31" s="166"/>
      <c r="E31" s="166"/>
      <c r="F31" s="166"/>
      <c r="G31" s="166"/>
      <c r="H31" s="166"/>
      <c r="I31" s="166"/>
      <c r="J31" s="13"/>
    </row>
    <row r="32" spans="1:10" ht="15.75">
      <c r="A32" s="153" t="s">
        <v>16</v>
      </c>
      <c r="B32" s="153"/>
      <c r="C32" s="153"/>
      <c r="D32" s="153"/>
      <c r="E32" s="153"/>
      <c r="F32" s="153"/>
      <c r="G32" s="153"/>
      <c r="H32" s="158" t="s">
        <v>11</v>
      </c>
      <c r="I32" s="158">
        <f>'UG-37'!I28</f>
        <v>10.2096</v>
      </c>
      <c r="J32" s="13"/>
    </row>
    <row r="33" spans="1:10" ht="15.75">
      <c r="A33" s="153" t="s">
        <v>156</v>
      </c>
      <c r="B33" s="153"/>
      <c r="C33" s="153"/>
      <c r="D33" s="153"/>
      <c r="E33" s="153"/>
      <c r="F33" s="153"/>
      <c r="G33" s="153"/>
      <c r="H33" s="158"/>
      <c r="I33" s="158"/>
      <c r="J33" s="13"/>
    </row>
    <row r="34" spans="1:10" ht="12.75">
      <c r="A34" s="166"/>
      <c r="B34" s="166"/>
      <c r="C34" s="166"/>
      <c r="D34" s="166"/>
      <c r="E34" s="166"/>
      <c r="F34" s="166"/>
      <c r="G34" s="166"/>
      <c r="H34" s="166"/>
      <c r="I34" s="166"/>
      <c r="J34" s="13"/>
    </row>
    <row r="35" spans="1:10" ht="15.75">
      <c r="A35" s="153" t="s">
        <v>17</v>
      </c>
      <c r="B35" s="153"/>
      <c r="C35" s="153"/>
      <c r="D35" s="153"/>
      <c r="E35" s="153"/>
      <c r="F35" s="153"/>
      <c r="G35" s="153"/>
      <c r="H35" s="158" t="s">
        <v>11</v>
      </c>
      <c r="I35" s="158">
        <f>'UG-37'!I31</f>
        <v>4.54</v>
      </c>
      <c r="J35" s="13"/>
    </row>
    <row r="36" spans="1:10" ht="15.75">
      <c r="A36" s="153" t="s">
        <v>157</v>
      </c>
      <c r="B36" s="153"/>
      <c r="C36" s="153"/>
      <c r="D36" s="153"/>
      <c r="E36" s="153"/>
      <c r="F36" s="153"/>
      <c r="G36" s="153"/>
      <c r="H36" s="158"/>
      <c r="I36" s="158"/>
      <c r="J36" s="13"/>
    </row>
    <row r="37" spans="1:10" ht="12.75">
      <c r="A37" s="166"/>
      <c r="B37" s="166"/>
      <c r="C37" s="166"/>
      <c r="D37" s="166"/>
      <c r="E37" s="166"/>
      <c r="F37" s="166"/>
      <c r="G37" s="166"/>
      <c r="H37" s="166"/>
      <c r="I37" s="166"/>
      <c r="J37" s="13"/>
    </row>
    <row r="38" spans="1:10" ht="15.75">
      <c r="A38" s="153" t="s">
        <v>18</v>
      </c>
      <c r="B38" s="153"/>
      <c r="C38" s="153"/>
      <c r="D38" s="153"/>
      <c r="E38" s="153"/>
      <c r="F38" s="153"/>
      <c r="G38" s="153"/>
      <c r="H38" s="158" t="s">
        <v>11</v>
      </c>
      <c r="I38" s="158">
        <f>'UG-37'!I34</f>
        <v>11.54</v>
      </c>
      <c r="J38" s="13"/>
    </row>
    <row r="39" spans="1:10" ht="15.75">
      <c r="A39" s="153" t="s">
        <v>158</v>
      </c>
      <c r="B39" s="153"/>
      <c r="C39" s="153"/>
      <c r="D39" s="153"/>
      <c r="E39" s="153"/>
      <c r="F39" s="153"/>
      <c r="G39" s="153"/>
      <c r="H39" s="158"/>
      <c r="I39" s="158"/>
      <c r="J39" s="13"/>
    </row>
    <row r="40" spans="1:10" ht="12.75">
      <c r="A40" s="166"/>
      <c r="B40" s="166"/>
      <c r="C40" s="166"/>
      <c r="D40" s="166"/>
      <c r="E40" s="166"/>
      <c r="F40" s="166"/>
      <c r="G40" s="166"/>
      <c r="H40" s="166"/>
      <c r="I40" s="166"/>
      <c r="J40" s="13"/>
    </row>
    <row r="41" spans="1:10" ht="15.75">
      <c r="A41" s="153" t="s">
        <v>153</v>
      </c>
      <c r="B41" s="153"/>
      <c r="C41" s="153"/>
      <c r="D41" s="153"/>
      <c r="E41" s="153"/>
      <c r="F41" s="153"/>
      <c r="G41" s="153"/>
      <c r="H41" s="158" t="s">
        <v>11</v>
      </c>
      <c r="I41" s="158">
        <f>'UG-37'!I37</f>
        <v>10.2096</v>
      </c>
      <c r="J41" s="13"/>
    </row>
    <row r="42" spans="1:10" ht="16.5" thickBot="1">
      <c r="A42" s="153" t="s">
        <v>295</v>
      </c>
      <c r="B42" s="153"/>
      <c r="C42" s="153"/>
      <c r="D42" s="153"/>
      <c r="E42" s="153"/>
      <c r="F42" s="153"/>
      <c r="G42" s="153"/>
      <c r="H42" s="158"/>
      <c r="I42" s="158"/>
      <c r="J42" s="13"/>
    </row>
    <row r="43" spans="1:10" ht="16.5" thickBot="1">
      <c r="A43" s="200" t="str">
        <f>IF('A-1-10'!I41&lt;INPUTS!I18,UPPER("Provided nozzle wall thickness is sufficient"),UPPER("Provided nozzle wall thickness is insufficient"))</f>
        <v>PROVIDED NOZZLE WALL THICKNESS IS SUFFICIENT</v>
      </c>
      <c r="B43" s="201"/>
      <c r="C43" s="201"/>
      <c r="D43" s="201"/>
      <c r="E43" s="201"/>
      <c r="F43" s="201"/>
      <c r="G43" s="201"/>
      <c r="H43" s="201"/>
      <c r="I43" s="202"/>
      <c r="J43" s="13"/>
    </row>
    <row r="44" spans="1:10" ht="13.5" thickBot="1">
      <c r="A44" s="25"/>
      <c r="B44" s="26"/>
      <c r="C44" s="26"/>
      <c r="D44" s="26"/>
      <c r="E44" s="26"/>
      <c r="F44" s="26"/>
      <c r="G44" s="2"/>
      <c r="H44" s="2"/>
      <c r="I44" s="7"/>
      <c r="J44" s="13"/>
    </row>
    <row r="45" spans="1:14" ht="13.5" thickBot="1">
      <c r="A45" s="162" t="s">
        <v>294</v>
      </c>
      <c r="B45" s="231"/>
      <c r="C45" s="231"/>
      <c r="D45" s="231"/>
      <c r="E45" s="231"/>
      <c r="F45" s="231"/>
      <c r="G45" s="231"/>
      <c r="H45" s="231"/>
      <c r="I45" s="232"/>
      <c r="J45" s="13"/>
      <c r="L45" s="19"/>
      <c r="M45" s="19"/>
      <c r="N45" s="19"/>
    </row>
    <row r="46" spans="1:14" ht="15.75" customHeight="1">
      <c r="A46" s="226" t="s">
        <v>74</v>
      </c>
      <c r="B46" s="227"/>
      <c r="C46" s="227"/>
      <c r="D46" s="227"/>
      <c r="E46" s="227"/>
      <c r="F46" s="228"/>
      <c r="G46" s="219" t="s">
        <v>67</v>
      </c>
      <c r="H46" s="219" t="s">
        <v>11</v>
      </c>
      <c r="I46" s="221">
        <f>(INPUTS!I17-2*INPUTS!I43)/2</f>
        <v>292.2</v>
      </c>
      <c r="J46" s="13"/>
      <c r="L46" s="156"/>
      <c r="M46" s="156"/>
      <c r="N46" s="156"/>
    </row>
    <row r="47" spans="1:14" ht="15.75" customHeight="1" hidden="1">
      <c r="A47" s="27" t="s">
        <v>152</v>
      </c>
      <c r="B47" s="27"/>
      <c r="C47" s="27"/>
      <c r="D47" s="27"/>
      <c r="E47" s="27"/>
      <c r="F47" s="27"/>
      <c r="G47" s="213"/>
      <c r="H47" s="213"/>
      <c r="I47" s="225"/>
      <c r="J47" s="13"/>
      <c r="L47" s="156" t="s">
        <v>176</v>
      </c>
      <c r="M47" s="156"/>
      <c r="N47" s="156"/>
    </row>
    <row r="48" spans="1:14" ht="15.75" customHeight="1">
      <c r="A48" s="210" t="s">
        <v>263</v>
      </c>
      <c r="B48" s="211"/>
      <c r="C48" s="211"/>
      <c r="D48" s="211"/>
      <c r="E48" s="211"/>
      <c r="F48" s="212"/>
      <c r="G48" s="193"/>
      <c r="H48" s="193"/>
      <c r="I48" s="175"/>
      <c r="J48" s="13"/>
      <c r="L48" s="8"/>
      <c r="M48" s="8"/>
      <c r="N48" s="8"/>
    </row>
    <row r="49" spans="1:14" ht="15.75" customHeight="1">
      <c r="A49" s="216"/>
      <c r="B49" s="203"/>
      <c r="C49" s="203"/>
      <c r="D49" s="203"/>
      <c r="E49" s="203"/>
      <c r="F49" s="203"/>
      <c r="G49" s="203"/>
      <c r="H49" s="203"/>
      <c r="I49" s="217"/>
      <c r="J49" s="13"/>
      <c r="L49" s="8"/>
      <c r="M49" s="8"/>
      <c r="N49" s="8"/>
    </row>
    <row r="50" spans="1:14" ht="15.75" customHeight="1">
      <c r="A50" s="210" t="s">
        <v>84</v>
      </c>
      <c r="B50" s="211"/>
      <c r="C50" s="211"/>
      <c r="D50" s="211"/>
      <c r="E50" s="211"/>
      <c r="F50" s="212"/>
      <c r="G50" s="178" t="s">
        <v>38</v>
      </c>
      <c r="H50" s="178" t="s">
        <v>11</v>
      </c>
      <c r="I50" s="174">
        <f>INPUTS!I8/2+INPUTS!I12</f>
        <v>1753.2</v>
      </c>
      <c r="J50" s="13"/>
      <c r="L50" s="156"/>
      <c r="M50" s="156"/>
      <c r="N50" s="156"/>
    </row>
    <row r="51" spans="1:14" ht="15.75">
      <c r="A51" s="210" t="s">
        <v>159</v>
      </c>
      <c r="B51" s="211"/>
      <c r="C51" s="211"/>
      <c r="D51" s="211"/>
      <c r="E51" s="211"/>
      <c r="F51" s="212"/>
      <c r="G51" s="193"/>
      <c r="H51" s="193"/>
      <c r="I51" s="175"/>
      <c r="J51" s="13"/>
      <c r="L51" s="8"/>
      <c r="M51" s="8"/>
      <c r="N51" s="8"/>
    </row>
    <row r="52" spans="1:14" ht="13.5" thickBot="1">
      <c r="A52" s="233"/>
      <c r="B52" s="234"/>
      <c r="C52" s="234"/>
      <c r="D52" s="234"/>
      <c r="E52" s="234"/>
      <c r="F52" s="234"/>
      <c r="G52" s="234"/>
      <c r="H52" s="234"/>
      <c r="I52" s="235"/>
      <c r="J52" s="13"/>
      <c r="L52" s="8"/>
      <c r="M52" s="8"/>
      <c r="N52" s="8"/>
    </row>
    <row r="53" spans="1:14" ht="13.5" thickBot="1">
      <c r="A53" s="162" t="s">
        <v>231</v>
      </c>
      <c r="B53" s="231"/>
      <c r="C53" s="231"/>
      <c r="D53" s="231"/>
      <c r="E53" s="231"/>
      <c r="F53" s="231"/>
      <c r="G53" s="231"/>
      <c r="H53" s="231"/>
      <c r="I53" s="232"/>
      <c r="J53" s="13"/>
      <c r="L53" s="8"/>
      <c r="M53" s="8"/>
      <c r="N53" s="8"/>
    </row>
    <row r="54" spans="1:14" ht="15.75" customHeight="1">
      <c r="A54" s="226" t="s">
        <v>75</v>
      </c>
      <c r="B54" s="227"/>
      <c r="C54" s="227"/>
      <c r="D54" s="227"/>
      <c r="E54" s="227"/>
      <c r="F54" s="228"/>
      <c r="G54" s="219" t="s">
        <v>33</v>
      </c>
      <c r="H54" s="219" t="s">
        <v>11</v>
      </c>
      <c r="I54" s="221">
        <f>IF(INPUTS!G16="self reinforced nozzle",8*INPUTS!I42,IF(OR(INPUTS!I26&lt;0.5*INPUTS!I42,INPUTS!I45&lt;2*INPUTS!I42),8*INPUTS!I42,IF(AND(INPUTS!I26&gt;0.5*INPUTS!I42,INPUTS!I45&lt;8*(INPUTS!I42+INPUTS!I26)),10*INPUTS!I42,8*(INPUTS!I42+INPUTS!I26))))</f>
        <v>86.4</v>
      </c>
      <c r="J54" s="13"/>
      <c r="L54" s="156"/>
      <c r="M54" s="156"/>
      <c r="N54" s="156"/>
    </row>
    <row r="55" spans="1:14" ht="15.75">
      <c r="A55" s="210" t="s">
        <v>264</v>
      </c>
      <c r="B55" s="211"/>
      <c r="C55" s="211"/>
      <c r="D55" s="211"/>
      <c r="E55" s="211"/>
      <c r="F55" s="212"/>
      <c r="G55" s="193"/>
      <c r="H55" s="193"/>
      <c r="I55" s="175"/>
      <c r="J55" s="13"/>
      <c r="L55" s="8"/>
      <c r="M55" s="8"/>
      <c r="N55" s="8"/>
    </row>
    <row r="56" spans="1:14" ht="12.75">
      <c r="A56" s="216"/>
      <c r="B56" s="203"/>
      <c r="C56" s="203"/>
      <c r="D56" s="203"/>
      <c r="E56" s="203"/>
      <c r="F56" s="203"/>
      <c r="G56" s="203"/>
      <c r="H56" s="203"/>
      <c r="I56" s="217"/>
      <c r="J56" s="13"/>
      <c r="L56" s="8"/>
      <c r="M56" s="8"/>
      <c r="N56" s="8"/>
    </row>
    <row r="57" spans="1:14" ht="15.75">
      <c r="A57" s="210" t="s">
        <v>249</v>
      </c>
      <c r="B57" s="211"/>
      <c r="C57" s="211"/>
      <c r="D57" s="211"/>
      <c r="E57" s="211"/>
      <c r="F57" s="212"/>
      <c r="G57" s="178" t="s">
        <v>250</v>
      </c>
      <c r="H57" s="178" t="s">
        <v>11</v>
      </c>
      <c r="I57" s="174">
        <f>INPUTS!I42+0.78*SQRT(I46*(MAX(INPUTS!I32-INPUTS!I12,INPUTS!I43)))</f>
        <v>141.98143795522293</v>
      </c>
      <c r="J57" s="13"/>
      <c r="L57" s="156"/>
      <c r="M57" s="156"/>
      <c r="N57" s="156"/>
    </row>
    <row r="58" spans="1:14" ht="15.75">
      <c r="A58" s="210" t="s">
        <v>265</v>
      </c>
      <c r="B58" s="211"/>
      <c r="C58" s="211"/>
      <c r="D58" s="211"/>
      <c r="E58" s="211"/>
      <c r="F58" s="212"/>
      <c r="G58" s="193"/>
      <c r="H58" s="193"/>
      <c r="I58" s="175"/>
      <c r="J58" s="13"/>
      <c r="L58" s="8"/>
      <c r="M58" s="8"/>
      <c r="N58" s="8"/>
    </row>
    <row r="59" spans="1:14" ht="12.75">
      <c r="A59" s="216"/>
      <c r="B59" s="203"/>
      <c r="C59" s="203"/>
      <c r="D59" s="203"/>
      <c r="E59" s="203"/>
      <c r="F59" s="203"/>
      <c r="G59" s="203"/>
      <c r="H59" s="203"/>
      <c r="I59" s="217"/>
      <c r="J59" s="13"/>
      <c r="L59" s="8"/>
      <c r="M59" s="8"/>
      <c r="N59" s="8"/>
    </row>
    <row r="60" spans="1:14" ht="15.75">
      <c r="A60" s="160" t="s">
        <v>77</v>
      </c>
      <c r="B60" s="160"/>
      <c r="C60" s="160"/>
      <c r="D60" s="160"/>
      <c r="E60" s="160"/>
      <c r="F60" s="160"/>
      <c r="G60" s="178" t="s">
        <v>34</v>
      </c>
      <c r="H60" s="178" t="s">
        <v>11</v>
      </c>
      <c r="I60" s="174">
        <f>INPUTS!I19+INPUTS!I42</f>
        <v>410.8</v>
      </c>
      <c r="J60" s="13"/>
      <c r="L60" s="156"/>
      <c r="M60" s="156"/>
      <c r="N60" s="156"/>
    </row>
    <row r="61" spans="1:14" ht="15.75">
      <c r="A61" s="160" t="s">
        <v>266</v>
      </c>
      <c r="B61" s="160"/>
      <c r="C61" s="160"/>
      <c r="D61" s="160"/>
      <c r="E61" s="160"/>
      <c r="F61" s="160"/>
      <c r="G61" s="213"/>
      <c r="H61" s="213"/>
      <c r="I61" s="225"/>
      <c r="J61" s="13"/>
      <c r="L61" s="8"/>
      <c r="M61" s="8"/>
      <c r="N61" s="8"/>
    </row>
    <row r="62" spans="1:14" ht="12.75">
      <c r="A62" s="218"/>
      <c r="B62" s="218"/>
      <c r="C62" s="218"/>
      <c r="D62" s="218"/>
      <c r="E62" s="218"/>
      <c r="F62" s="218"/>
      <c r="G62" s="218"/>
      <c r="H62" s="218"/>
      <c r="I62" s="220"/>
      <c r="J62" s="13"/>
      <c r="L62" s="8"/>
      <c r="M62" s="8"/>
      <c r="N62" s="8"/>
    </row>
    <row r="63" spans="1:14" ht="15.75">
      <c r="A63" s="160" t="s">
        <v>77</v>
      </c>
      <c r="B63" s="160"/>
      <c r="C63" s="160"/>
      <c r="D63" s="160"/>
      <c r="E63" s="160"/>
      <c r="F63" s="160"/>
      <c r="G63" s="169" t="s">
        <v>35</v>
      </c>
      <c r="H63" s="178" t="s">
        <v>11</v>
      </c>
      <c r="I63" s="174">
        <f>8*(INPUTS!I42+INPUTS!I26)</f>
        <v>86.4</v>
      </c>
      <c r="J63" s="13"/>
      <c r="L63" s="20"/>
      <c r="M63" s="20"/>
      <c r="N63" s="20"/>
    </row>
    <row r="64" spans="1:14" ht="15.75">
      <c r="A64" s="160" t="s">
        <v>70</v>
      </c>
      <c r="B64" s="160"/>
      <c r="C64" s="160"/>
      <c r="D64" s="160"/>
      <c r="E64" s="160"/>
      <c r="F64" s="160"/>
      <c r="G64" s="169"/>
      <c r="H64" s="213"/>
      <c r="I64" s="225"/>
      <c r="J64" s="13"/>
      <c r="L64" s="8"/>
      <c r="M64" s="8"/>
      <c r="N64" s="8"/>
    </row>
    <row r="65" spans="1:14" ht="15" customHeight="1">
      <c r="A65" s="218"/>
      <c r="B65" s="218"/>
      <c r="C65" s="218"/>
      <c r="D65" s="218"/>
      <c r="E65" s="218"/>
      <c r="F65" s="218"/>
      <c r="G65" s="218"/>
      <c r="H65" s="218"/>
      <c r="I65" s="220"/>
      <c r="J65" s="13"/>
      <c r="L65" s="8"/>
      <c r="M65" s="8"/>
      <c r="N65" s="8"/>
    </row>
    <row r="66" spans="1:14" ht="15.75" customHeight="1">
      <c r="A66" s="160" t="s">
        <v>204</v>
      </c>
      <c r="B66" s="160"/>
      <c r="C66" s="160"/>
      <c r="D66" s="160"/>
      <c r="E66" s="160"/>
      <c r="F66" s="160"/>
      <c r="G66" s="169" t="s">
        <v>205</v>
      </c>
      <c r="H66" s="178" t="s">
        <v>11</v>
      </c>
      <c r="I66" s="174">
        <f>IF(INPUTS!G16="self reinforcing nozzle",INPUTS!I30+INPUTS!I42+0.78*(INPUTS!I43/(INPUTS!I32-INPUTS!I40))*SQRT(I46*INPUTS!I43),0)</f>
        <v>0</v>
      </c>
      <c r="J66" s="13"/>
      <c r="L66" s="20"/>
      <c r="M66" s="20"/>
      <c r="N66" s="20"/>
    </row>
    <row r="67" spans="1:14" ht="15.75">
      <c r="A67" s="160" t="s">
        <v>269</v>
      </c>
      <c r="B67" s="160"/>
      <c r="C67" s="160"/>
      <c r="D67" s="160"/>
      <c r="E67" s="160"/>
      <c r="F67" s="160"/>
      <c r="G67" s="169"/>
      <c r="H67" s="213"/>
      <c r="I67" s="225"/>
      <c r="J67" s="13"/>
      <c r="L67" s="8"/>
      <c r="M67" s="8"/>
      <c r="N67" s="8"/>
    </row>
    <row r="68" spans="1:14" ht="12.75">
      <c r="A68" s="218"/>
      <c r="B68" s="218"/>
      <c r="C68" s="218"/>
      <c r="D68" s="218"/>
      <c r="E68" s="218"/>
      <c r="F68" s="218"/>
      <c r="G68" s="218"/>
      <c r="H68" s="218"/>
      <c r="I68" s="220"/>
      <c r="J68" s="13"/>
      <c r="L68" s="8"/>
      <c r="M68" s="8"/>
      <c r="N68" s="8"/>
    </row>
    <row r="69" spans="1:14" ht="15.75" customHeight="1">
      <c r="A69" s="160" t="s">
        <v>76</v>
      </c>
      <c r="B69" s="160"/>
      <c r="C69" s="160"/>
      <c r="D69" s="160"/>
      <c r="E69" s="160"/>
      <c r="F69" s="160"/>
      <c r="G69" s="169" t="s">
        <v>36</v>
      </c>
      <c r="H69" s="178" t="s">
        <v>11</v>
      </c>
      <c r="I69" s="174">
        <f>IF(INPUTS!I30=0,MIN(I57,I60,I63),MIN(I57,I60,I66))</f>
        <v>0</v>
      </c>
      <c r="J69" s="13"/>
      <c r="L69" s="20"/>
      <c r="M69" s="20"/>
      <c r="N69" s="20"/>
    </row>
    <row r="70" spans="1:14" ht="15.75">
      <c r="A70" s="160" t="s">
        <v>206</v>
      </c>
      <c r="B70" s="160"/>
      <c r="C70" s="160"/>
      <c r="D70" s="160"/>
      <c r="E70" s="160"/>
      <c r="F70" s="160"/>
      <c r="G70" s="169"/>
      <c r="H70" s="213"/>
      <c r="I70" s="225"/>
      <c r="J70" s="13"/>
      <c r="L70" s="8"/>
      <c r="M70" s="8"/>
      <c r="N70" s="8"/>
    </row>
    <row r="71" spans="1:14" ht="12.75">
      <c r="A71" s="218"/>
      <c r="B71" s="218"/>
      <c r="C71" s="218"/>
      <c r="D71" s="218"/>
      <c r="E71" s="218"/>
      <c r="F71" s="218"/>
      <c r="G71" s="218"/>
      <c r="H71" s="218"/>
      <c r="I71" s="220"/>
      <c r="J71" s="13"/>
      <c r="L71" s="8"/>
      <c r="M71" s="8"/>
      <c r="N71" s="8"/>
    </row>
    <row r="72" spans="1:14" ht="15.75" customHeight="1">
      <c r="A72" s="160" t="s">
        <v>89</v>
      </c>
      <c r="B72" s="160"/>
      <c r="C72" s="160"/>
      <c r="D72" s="160"/>
      <c r="E72" s="160"/>
      <c r="F72" s="160"/>
      <c r="G72" s="169" t="s">
        <v>43</v>
      </c>
      <c r="H72" s="178" t="s">
        <v>11</v>
      </c>
      <c r="I72" s="174">
        <f>IF(AND(INPUTS!I26&gt;0.5*INPUTS!I42,INPUTS!I45&gt;8*(INPUTS!I42+INPUTS!I26)),INPUTS!I42+INPUTS!I26,INPUTS!I42)</f>
        <v>10.8</v>
      </c>
      <c r="J72" s="13"/>
      <c r="L72" s="20"/>
      <c r="M72" s="20"/>
      <c r="N72" s="20"/>
    </row>
    <row r="73" spans="1:14" ht="15" customHeight="1">
      <c r="A73" s="160" t="s">
        <v>63</v>
      </c>
      <c r="B73" s="160"/>
      <c r="C73" s="160"/>
      <c r="D73" s="160"/>
      <c r="E73" s="160"/>
      <c r="F73" s="160"/>
      <c r="G73" s="169"/>
      <c r="H73" s="213"/>
      <c r="I73" s="225"/>
      <c r="J73" s="13"/>
      <c r="L73" s="8"/>
      <c r="M73" s="8"/>
      <c r="N73" s="8"/>
    </row>
    <row r="74" spans="1:14" ht="15" customHeight="1" thickBot="1">
      <c r="A74" s="223"/>
      <c r="B74" s="223"/>
      <c r="C74" s="223"/>
      <c r="D74" s="223"/>
      <c r="E74" s="223"/>
      <c r="F74" s="223"/>
      <c r="G74" s="223"/>
      <c r="H74" s="223"/>
      <c r="I74" s="224"/>
      <c r="J74" s="13"/>
      <c r="L74" s="8"/>
      <c r="M74" s="8"/>
      <c r="N74" s="8"/>
    </row>
    <row r="75" spans="1:14" ht="13.5" thickBot="1">
      <c r="A75" s="107" t="s">
        <v>128</v>
      </c>
      <c r="B75" s="108"/>
      <c r="C75" s="108"/>
      <c r="D75" s="108"/>
      <c r="E75" s="108"/>
      <c r="F75" s="108"/>
      <c r="G75" s="108"/>
      <c r="H75" s="108"/>
      <c r="I75" s="109"/>
      <c r="J75" s="13"/>
      <c r="L75" s="8"/>
      <c r="M75" s="8"/>
      <c r="N75" s="8"/>
    </row>
    <row r="76" spans="1:14" ht="15.75">
      <c r="A76" s="168" t="s">
        <v>78</v>
      </c>
      <c r="B76" s="168"/>
      <c r="C76" s="168"/>
      <c r="D76" s="168"/>
      <c r="E76" s="168"/>
      <c r="F76" s="168"/>
      <c r="G76" s="193" t="s">
        <v>72</v>
      </c>
      <c r="H76" s="213" t="s">
        <v>14</v>
      </c>
      <c r="I76" s="225">
        <f>MIN(10,((2*I46+MAX(INPUTS!I43,(INPUTS!I32-INPUTS!I40)))/SQRT((I72+2*I50)*I72)))</f>
        <v>3.4951372069051128</v>
      </c>
      <c r="J76" s="13"/>
      <c r="L76" s="20"/>
      <c r="M76" s="20"/>
      <c r="N76" s="20"/>
    </row>
    <row r="77" spans="1:14" ht="15.75">
      <c r="A77" s="160" t="s">
        <v>73</v>
      </c>
      <c r="B77" s="160"/>
      <c r="C77" s="160"/>
      <c r="D77" s="160"/>
      <c r="E77" s="160"/>
      <c r="F77" s="160"/>
      <c r="G77" s="169"/>
      <c r="H77" s="213"/>
      <c r="I77" s="225"/>
      <c r="J77" s="13"/>
      <c r="L77" s="8"/>
      <c r="M77" s="8"/>
      <c r="N77" s="8"/>
    </row>
    <row r="78" spans="1:14" ht="12.75">
      <c r="A78" s="218"/>
      <c r="B78" s="218"/>
      <c r="C78" s="218"/>
      <c r="D78" s="218"/>
      <c r="E78" s="218"/>
      <c r="F78" s="218"/>
      <c r="G78" s="218"/>
      <c r="H78" s="218"/>
      <c r="I78" s="220"/>
      <c r="J78" s="13"/>
      <c r="L78" s="8"/>
      <c r="M78" s="8"/>
      <c r="N78" s="8"/>
    </row>
    <row r="79" spans="1:14" ht="15.75" customHeight="1">
      <c r="A79" s="160" t="s">
        <v>79</v>
      </c>
      <c r="B79" s="160"/>
      <c r="C79" s="160"/>
      <c r="D79" s="160"/>
      <c r="E79" s="160"/>
      <c r="F79" s="160"/>
      <c r="G79" s="169" t="s">
        <v>22</v>
      </c>
      <c r="H79" s="178" t="s">
        <v>97</v>
      </c>
      <c r="I79" s="174">
        <f>INPUTS!I42*I54*MAX(1,I76/4)</f>
        <v>933.1200000000001</v>
      </c>
      <c r="J79" s="13"/>
      <c r="L79" s="20"/>
      <c r="M79" s="20"/>
      <c r="N79" s="20"/>
    </row>
    <row r="80" spans="1:14" ht="15.75">
      <c r="A80" s="160" t="s">
        <v>71</v>
      </c>
      <c r="B80" s="160"/>
      <c r="C80" s="160"/>
      <c r="D80" s="160"/>
      <c r="E80" s="160"/>
      <c r="F80" s="160"/>
      <c r="G80" s="169"/>
      <c r="H80" s="213"/>
      <c r="I80" s="225"/>
      <c r="J80" s="13"/>
      <c r="L80" s="8"/>
      <c r="M80" s="8"/>
      <c r="N80" s="8"/>
    </row>
    <row r="81" spans="1:14" ht="12.75">
      <c r="A81" s="218"/>
      <c r="B81" s="218"/>
      <c r="C81" s="218"/>
      <c r="D81" s="218"/>
      <c r="E81" s="218"/>
      <c r="F81" s="218"/>
      <c r="G81" s="218"/>
      <c r="H81" s="218"/>
      <c r="I81" s="220"/>
      <c r="J81" s="13"/>
      <c r="L81" s="8"/>
      <c r="M81" s="8"/>
      <c r="N81" s="8"/>
    </row>
    <row r="82" spans="1:14" ht="15.75" customHeight="1">
      <c r="A82" s="160" t="s">
        <v>80</v>
      </c>
      <c r="B82" s="160"/>
      <c r="C82" s="160"/>
      <c r="D82" s="160"/>
      <c r="E82" s="160"/>
      <c r="F82" s="160"/>
      <c r="G82" s="169" t="s">
        <v>23</v>
      </c>
      <c r="H82" s="178" t="s">
        <v>97</v>
      </c>
      <c r="I82" s="174">
        <f>IF(INPUTS!G16="self reinforcing nozzle",IF(I69&lt;INPUTS!I30+INPUTS!I42,INPUTS!I43*I69,(INPUTS!I32-INPUTS!I40)*(INPUTS!I30+INPUTS!I42)+0.78*(SQRT(I46*INPUTS!I43)*((INPUTS!I43*INPUTS!I43)/(INPUTS!I32-INPUTS!I40)))),INPUTS!I43*'A-1-10'!I69)</f>
        <v>0</v>
      </c>
      <c r="J82" s="13"/>
      <c r="L82" s="20"/>
      <c r="M82" s="21"/>
      <c r="N82" s="21"/>
    </row>
    <row r="83" spans="1:14" ht="15.75">
      <c r="A83" s="160" t="s">
        <v>268</v>
      </c>
      <c r="B83" s="160"/>
      <c r="C83" s="160"/>
      <c r="D83" s="160"/>
      <c r="E83" s="160"/>
      <c r="F83" s="160"/>
      <c r="G83" s="169"/>
      <c r="H83" s="213"/>
      <c r="I83" s="225"/>
      <c r="J83" s="13"/>
      <c r="L83" s="21"/>
      <c r="M83" s="21"/>
      <c r="N83" s="21"/>
    </row>
    <row r="84" spans="1:14" ht="12.75">
      <c r="A84" s="218"/>
      <c r="B84" s="218"/>
      <c r="C84" s="218"/>
      <c r="D84" s="218"/>
      <c r="E84" s="218"/>
      <c r="F84" s="218"/>
      <c r="G84" s="218"/>
      <c r="H84" s="218"/>
      <c r="I84" s="220"/>
      <c r="J84" s="13"/>
      <c r="L84" s="21"/>
      <c r="M84" s="21"/>
      <c r="N84" s="21"/>
    </row>
    <row r="85" spans="1:14" ht="15.75" customHeight="1">
      <c r="A85" s="160" t="s">
        <v>253</v>
      </c>
      <c r="B85" s="160"/>
      <c r="C85" s="160"/>
      <c r="D85" s="160"/>
      <c r="E85" s="160"/>
      <c r="F85" s="160"/>
      <c r="G85" s="169" t="s">
        <v>212</v>
      </c>
      <c r="H85" s="178" t="s">
        <v>97</v>
      </c>
      <c r="I85" s="174">
        <f>IF(INPUTS!I45+INPUTS!I35&lt;'A-1-10'!I54,0.5*(INPUTS!I35*INPUTS!I35+INPUTS!I36*INPUTS!I36),0.5*INPUTS!I36*INPUTS!I36)</f>
        <v>128</v>
      </c>
      <c r="J85" s="13"/>
      <c r="L85" s="20"/>
      <c r="M85" s="20"/>
      <c r="N85" s="20"/>
    </row>
    <row r="86" spans="1:14" ht="15.75">
      <c r="A86" s="160" t="s">
        <v>267</v>
      </c>
      <c r="B86" s="160"/>
      <c r="C86" s="160"/>
      <c r="D86" s="160"/>
      <c r="E86" s="160"/>
      <c r="F86" s="160"/>
      <c r="G86" s="169"/>
      <c r="H86" s="213"/>
      <c r="I86" s="225"/>
      <c r="J86" s="13"/>
      <c r="L86" s="8"/>
      <c r="M86" s="8"/>
      <c r="N86" s="8"/>
    </row>
    <row r="87" spans="1:14" ht="12.75">
      <c r="A87" s="218"/>
      <c r="B87" s="218"/>
      <c r="C87" s="218"/>
      <c r="D87" s="218"/>
      <c r="E87" s="218"/>
      <c r="F87" s="218"/>
      <c r="G87" s="218"/>
      <c r="H87" s="218"/>
      <c r="I87" s="220"/>
      <c r="J87" s="13"/>
      <c r="K87" s="13"/>
      <c r="L87" s="8"/>
      <c r="M87" s="8"/>
      <c r="N87" s="8"/>
    </row>
    <row r="88" spans="1:14" ht="15.75" customHeight="1">
      <c r="A88" s="160" t="s">
        <v>81</v>
      </c>
      <c r="B88" s="160"/>
      <c r="C88" s="160"/>
      <c r="D88" s="160"/>
      <c r="E88" s="160"/>
      <c r="F88" s="160"/>
      <c r="G88" s="169" t="s">
        <v>24</v>
      </c>
      <c r="H88" s="178" t="s">
        <v>97</v>
      </c>
      <c r="I88" s="174">
        <f>MIN(INPUTS!I45*INPUTS!I26,I54*INPUTS!I26)</f>
        <v>0</v>
      </c>
      <c r="J88" s="13"/>
      <c r="L88" s="20"/>
      <c r="M88" s="20"/>
      <c r="N88" s="20"/>
    </row>
    <row r="89" spans="1:14" ht="15.75">
      <c r="A89" s="160" t="s">
        <v>65</v>
      </c>
      <c r="B89" s="160"/>
      <c r="C89" s="160"/>
      <c r="D89" s="160"/>
      <c r="E89" s="160"/>
      <c r="F89" s="160"/>
      <c r="G89" s="169"/>
      <c r="H89" s="213"/>
      <c r="I89" s="225"/>
      <c r="J89" s="13"/>
      <c r="L89" s="8"/>
      <c r="M89" s="8"/>
      <c r="N89" s="8"/>
    </row>
    <row r="90" spans="1:14" ht="12.75">
      <c r="A90" s="218"/>
      <c r="B90" s="218"/>
      <c r="C90" s="218"/>
      <c r="D90" s="218"/>
      <c r="E90" s="218"/>
      <c r="F90" s="218"/>
      <c r="G90" s="218"/>
      <c r="H90" s="218"/>
      <c r="I90" s="220"/>
      <c r="J90" s="13"/>
      <c r="L90" s="8"/>
      <c r="M90" s="8"/>
      <c r="N90" s="8"/>
    </row>
    <row r="91" spans="1:14" ht="15.75" customHeight="1">
      <c r="A91" s="160" t="s">
        <v>83</v>
      </c>
      <c r="B91" s="160"/>
      <c r="C91" s="160"/>
      <c r="D91" s="160"/>
      <c r="E91" s="160"/>
      <c r="F91" s="160"/>
      <c r="G91" s="169" t="s">
        <v>37</v>
      </c>
      <c r="H91" s="178" t="s">
        <v>97</v>
      </c>
      <c r="I91" s="174">
        <f>I79+I82+I85+I88</f>
        <v>1061.1200000000001</v>
      </c>
      <c r="J91" s="13"/>
      <c r="L91" s="20"/>
      <c r="M91" s="20"/>
      <c r="N91" s="20"/>
    </row>
    <row r="92" spans="1:14" ht="15.75">
      <c r="A92" s="160" t="s">
        <v>64</v>
      </c>
      <c r="B92" s="160"/>
      <c r="C92" s="160"/>
      <c r="D92" s="160"/>
      <c r="E92" s="160"/>
      <c r="F92" s="160"/>
      <c r="G92" s="169"/>
      <c r="H92" s="213"/>
      <c r="I92" s="225"/>
      <c r="J92" s="13"/>
      <c r="L92" s="8"/>
      <c r="M92" s="8"/>
      <c r="N92" s="8"/>
    </row>
    <row r="93" spans="1:14" ht="13.5" thickBot="1">
      <c r="A93" s="223"/>
      <c r="B93" s="223"/>
      <c r="C93" s="223"/>
      <c r="D93" s="223"/>
      <c r="E93" s="223"/>
      <c r="F93" s="223"/>
      <c r="G93" s="223"/>
      <c r="H93" s="223"/>
      <c r="I93" s="224"/>
      <c r="J93" s="13"/>
      <c r="L93" s="8"/>
      <c r="M93" s="8"/>
      <c r="N93" s="8"/>
    </row>
    <row r="94" spans="1:14" ht="13.5" thickBot="1">
      <c r="A94" s="107" t="s">
        <v>287</v>
      </c>
      <c r="B94" s="108"/>
      <c r="C94" s="108"/>
      <c r="D94" s="108"/>
      <c r="E94" s="108"/>
      <c r="F94" s="108"/>
      <c r="G94" s="108"/>
      <c r="H94" s="108"/>
      <c r="I94" s="109"/>
      <c r="J94" s="13"/>
      <c r="L94" s="8"/>
      <c r="M94" s="8"/>
      <c r="N94" s="8"/>
    </row>
    <row r="95" spans="1:14" ht="15.75" customHeight="1">
      <c r="A95" s="168" t="s">
        <v>93</v>
      </c>
      <c r="B95" s="168"/>
      <c r="C95" s="168"/>
      <c r="D95" s="168"/>
      <c r="E95" s="168"/>
      <c r="F95" s="168"/>
      <c r="G95" s="213" t="s">
        <v>47</v>
      </c>
      <c r="H95" s="213" t="s">
        <v>12</v>
      </c>
      <c r="I95" s="225">
        <f>1.5*INPUTS!I20</f>
        <v>2109.21</v>
      </c>
      <c r="J95" s="13"/>
      <c r="L95" s="20"/>
      <c r="M95" s="20"/>
      <c r="N95" s="20"/>
    </row>
    <row r="96" spans="1:14" ht="15.75">
      <c r="A96" s="160" t="s">
        <v>286</v>
      </c>
      <c r="B96" s="160"/>
      <c r="C96" s="160"/>
      <c r="D96" s="160"/>
      <c r="E96" s="160"/>
      <c r="F96" s="160"/>
      <c r="G96" s="193"/>
      <c r="H96" s="193"/>
      <c r="I96" s="175"/>
      <c r="J96" s="13"/>
      <c r="L96" s="8"/>
      <c r="M96" s="8"/>
      <c r="N96" s="8"/>
    </row>
    <row r="97" spans="1:14" ht="13.5" thickBot="1">
      <c r="A97" s="223"/>
      <c r="B97" s="223"/>
      <c r="C97" s="223"/>
      <c r="D97" s="223"/>
      <c r="E97" s="223"/>
      <c r="F97" s="223"/>
      <c r="G97" s="223"/>
      <c r="H97" s="223"/>
      <c r="I97" s="224"/>
      <c r="J97" s="13"/>
      <c r="L97" s="8"/>
      <c r="M97" s="8"/>
      <c r="N97" s="8"/>
    </row>
    <row r="98" spans="1:14" ht="13.5" thickBot="1">
      <c r="A98" s="107" t="s">
        <v>288</v>
      </c>
      <c r="B98" s="108"/>
      <c r="C98" s="108"/>
      <c r="D98" s="108"/>
      <c r="E98" s="108"/>
      <c r="F98" s="108"/>
      <c r="G98" s="108"/>
      <c r="H98" s="108"/>
      <c r="I98" s="109"/>
      <c r="J98" s="12"/>
      <c r="L98" s="8"/>
      <c r="M98" s="8"/>
      <c r="N98" s="8"/>
    </row>
    <row r="99" spans="1:14" ht="15.75" customHeight="1">
      <c r="A99" s="168" t="s">
        <v>85</v>
      </c>
      <c r="B99" s="168"/>
      <c r="C99" s="168"/>
      <c r="D99" s="168"/>
      <c r="E99" s="168"/>
      <c r="F99" s="168"/>
      <c r="G99" s="213" t="s">
        <v>42</v>
      </c>
      <c r="H99" s="213" t="s">
        <v>11</v>
      </c>
      <c r="I99" s="230">
        <f>I46/COS(INPUTS!I46)</f>
        <v>292.2</v>
      </c>
      <c r="J99" s="12"/>
      <c r="L99" s="20"/>
      <c r="M99" s="20"/>
      <c r="N99" s="20"/>
    </row>
    <row r="100" spans="1:14" ht="15.75">
      <c r="A100" s="160" t="s">
        <v>62</v>
      </c>
      <c r="B100" s="160"/>
      <c r="C100" s="160"/>
      <c r="D100" s="160"/>
      <c r="E100" s="160"/>
      <c r="F100" s="160"/>
      <c r="G100" s="213"/>
      <c r="H100" s="213"/>
      <c r="I100" s="230"/>
      <c r="J100" s="12"/>
      <c r="L100" s="8"/>
      <c r="M100" s="8"/>
      <c r="N100" s="8"/>
    </row>
    <row r="101" spans="1:14" ht="12.75">
      <c r="A101" s="218"/>
      <c r="B101" s="218"/>
      <c r="C101" s="218"/>
      <c r="D101" s="218"/>
      <c r="E101" s="218"/>
      <c r="F101" s="218"/>
      <c r="G101" s="218"/>
      <c r="H101" s="218"/>
      <c r="I101" s="220"/>
      <c r="J101" s="13"/>
      <c r="L101" s="8"/>
      <c r="M101" s="8"/>
      <c r="N101" s="8"/>
    </row>
    <row r="102" spans="1:14" ht="15.75" customHeight="1">
      <c r="A102" s="160" t="s">
        <v>86</v>
      </c>
      <c r="B102" s="160"/>
      <c r="C102" s="160"/>
      <c r="D102" s="160"/>
      <c r="E102" s="160"/>
      <c r="F102" s="160"/>
      <c r="G102" s="178" t="s">
        <v>39</v>
      </c>
      <c r="H102" s="178" t="s">
        <v>98</v>
      </c>
      <c r="I102" s="174">
        <f>(INPUTS!I7*I46*(I69-INPUTS!I42))/100</f>
        <v>-176.78567520000004</v>
      </c>
      <c r="J102" s="222"/>
      <c r="L102" s="20"/>
      <c r="M102" s="20"/>
      <c r="N102" s="20"/>
    </row>
    <row r="103" spans="1:14" ht="15.75">
      <c r="A103" s="160" t="s">
        <v>61</v>
      </c>
      <c r="B103" s="160"/>
      <c r="C103" s="160"/>
      <c r="D103" s="160"/>
      <c r="E103" s="160"/>
      <c r="F103" s="160"/>
      <c r="G103" s="213"/>
      <c r="H103" s="213"/>
      <c r="I103" s="225"/>
      <c r="J103" s="222"/>
      <c r="L103" s="8"/>
      <c r="M103" s="8"/>
      <c r="N103" s="8"/>
    </row>
    <row r="104" spans="1:14" ht="12.75">
      <c r="A104" s="218"/>
      <c r="B104" s="218"/>
      <c r="C104" s="218"/>
      <c r="D104" s="218"/>
      <c r="E104" s="218"/>
      <c r="F104" s="218"/>
      <c r="G104" s="218"/>
      <c r="H104" s="218"/>
      <c r="I104" s="220"/>
      <c r="J104" s="222"/>
      <c r="L104" s="8"/>
      <c r="M104" s="8"/>
      <c r="N104" s="8"/>
    </row>
    <row r="105" spans="1:14" ht="15.75" customHeight="1">
      <c r="A105" s="160" t="s">
        <v>87</v>
      </c>
      <c r="B105" s="160"/>
      <c r="C105" s="160"/>
      <c r="D105" s="160"/>
      <c r="E105" s="160"/>
      <c r="F105" s="160"/>
      <c r="G105" s="178" t="s">
        <v>41</v>
      </c>
      <c r="H105" s="178" t="s">
        <v>98</v>
      </c>
      <c r="I105" s="174">
        <f>INPUTS!I7*'A-1-10'!I50*(I54+MAX(INPUTS!I43,(INPUTS!I32-INPUTS!I40)))/100</f>
        <v>17992.8531648</v>
      </c>
      <c r="J105" s="13"/>
      <c r="L105" s="20"/>
      <c r="M105" s="20"/>
      <c r="N105" s="20"/>
    </row>
    <row r="106" spans="1:14" ht="15.75">
      <c r="A106" s="160" t="s">
        <v>60</v>
      </c>
      <c r="B106" s="160"/>
      <c r="C106" s="160"/>
      <c r="D106" s="160"/>
      <c r="E106" s="160"/>
      <c r="F106" s="160"/>
      <c r="G106" s="193"/>
      <c r="H106" s="193"/>
      <c r="I106" s="175"/>
      <c r="J106" s="13"/>
      <c r="L106" s="8"/>
      <c r="M106" s="8"/>
      <c r="N106" s="8"/>
    </row>
    <row r="107" spans="1:14" ht="15.75" customHeight="1">
      <c r="A107" s="218"/>
      <c r="B107" s="218"/>
      <c r="C107" s="218"/>
      <c r="D107" s="218"/>
      <c r="E107" s="218"/>
      <c r="F107" s="218"/>
      <c r="G107" s="218"/>
      <c r="H107" s="218"/>
      <c r="I107" s="216"/>
      <c r="J107" s="12"/>
      <c r="L107" s="8"/>
      <c r="M107" s="8"/>
      <c r="N107" s="8"/>
    </row>
    <row r="108" spans="1:14" ht="15.75" customHeight="1">
      <c r="A108" s="160" t="s">
        <v>88</v>
      </c>
      <c r="B108" s="160"/>
      <c r="C108" s="160"/>
      <c r="D108" s="160"/>
      <c r="E108" s="160"/>
      <c r="F108" s="160"/>
      <c r="G108" s="178" t="s">
        <v>40</v>
      </c>
      <c r="H108" s="178" t="s">
        <v>98</v>
      </c>
      <c r="I108" s="229">
        <f>INPUTS!I7*'A-1-10'!I50*I99/100</f>
        <v>28698.2079408</v>
      </c>
      <c r="J108" s="12"/>
      <c r="L108" s="20"/>
      <c r="M108" s="20"/>
      <c r="N108" s="20"/>
    </row>
    <row r="109" spans="1:14" ht="15.75">
      <c r="A109" s="160" t="s">
        <v>59</v>
      </c>
      <c r="B109" s="160"/>
      <c r="C109" s="160"/>
      <c r="D109" s="160"/>
      <c r="E109" s="160"/>
      <c r="F109" s="160"/>
      <c r="G109" s="213"/>
      <c r="H109" s="213"/>
      <c r="I109" s="230"/>
      <c r="J109" s="12"/>
      <c r="L109" s="8"/>
      <c r="M109" s="8"/>
      <c r="N109" s="8"/>
    </row>
    <row r="110" spans="1:14" ht="13.5" thickBot="1">
      <c r="A110" s="223"/>
      <c r="B110" s="223"/>
      <c r="C110" s="223"/>
      <c r="D110" s="223"/>
      <c r="E110" s="223"/>
      <c r="F110" s="223"/>
      <c r="G110" s="223"/>
      <c r="H110" s="223"/>
      <c r="I110" s="236"/>
      <c r="J110" s="12"/>
      <c r="L110" s="8"/>
      <c r="M110" s="8"/>
      <c r="N110" s="8"/>
    </row>
    <row r="111" spans="1:14" ht="13.5" thickBot="1">
      <c r="A111" s="107" t="str">
        <f>UPPER("Maximum Allowable Pressure calculation")</f>
        <v>MAXIMUM ALLOWABLE PRESSURE CALCULATION</v>
      </c>
      <c r="B111" s="108"/>
      <c r="C111" s="108"/>
      <c r="D111" s="108"/>
      <c r="E111" s="108"/>
      <c r="F111" s="108"/>
      <c r="G111" s="108"/>
      <c r="H111" s="108"/>
      <c r="I111" s="109"/>
      <c r="J111" s="12"/>
      <c r="L111" s="8"/>
      <c r="M111" s="8"/>
      <c r="N111" s="8"/>
    </row>
    <row r="112" spans="1:14" ht="15.75">
      <c r="A112" s="168" t="s">
        <v>94</v>
      </c>
      <c r="B112" s="168"/>
      <c r="C112" s="168"/>
      <c r="D112" s="168"/>
      <c r="E112" s="168"/>
      <c r="F112" s="168"/>
      <c r="G112" s="213" t="s">
        <v>48</v>
      </c>
      <c r="H112" s="213" t="s">
        <v>97</v>
      </c>
      <c r="I112" s="230">
        <f>I46*(I69-INPUTS!I42)+'A-1-10'!I50*(I54+MAX(INPUTS!I43,(INPUTS!I32-INPUTS!I40))+I99)</f>
        <v>830315.52</v>
      </c>
      <c r="J112" s="12"/>
      <c r="L112" s="20"/>
      <c r="M112" s="20"/>
      <c r="N112" s="20"/>
    </row>
    <row r="113" spans="1:14" ht="15.75">
      <c r="A113" s="160" t="s">
        <v>55</v>
      </c>
      <c r="B113" s="160"/>
      <c r="C113" s="160"/>
      <c r="D113" s="160"/>
      <c r="E113" s="160"/>
      <c r="F113" s="160"/>
      <c r="G113" s="213"/>
      <c r="H113" s="213"/>
      <c r="I113" s="230"/>
      <c r="J113" s="12"/>
      <c r="L113" s="8"/>
      <c r="M113" s="8"/>
      <c r="N113" s="24"/>
    </row>
    <row r="114" spans="1:14" ht="12.75">
      <c r="A114" s="218"/>
      <c r="B114" s="218"/>
      <c r="C114" s="218"/>
      <c r="D114" s="218"/>
      <c r="E114" s="218"/>
      <c r="F114" s="218"/>
      <c r="G114" s="218"/>
      <c r="H114" s="218"/>
      <c r="I114" s="216"/>
      <c r="J114" s="12"/>
      <c r="L114" s="8"/>
      <c r="M114" s="8"/>
      <c r="N114" s="8"/>
    </row>
    <row r="115" spans="1:14" ht="15.75">
      <c r="A115" s="160" t="s">
        <v>95</v>
      </c>
      <c r="B115" s="160"/>
      <c r="C115" s="160"/>
      <c r="D115" s="160"/>
      <c r="E115" s="160"/>
      <c r="F115" s="160"/>
      <c r="G115" s="178" t="s">
        <v>49</v>
      </c>
      <c r="H115" s="178" t="s">
        <v>12</v>
      </c>
      <c r="I115" s="229">
        <f>I95/(2*(I112/I91)-('A-1-10'!I50/I72))</f>
        <v>1.503736337859884</v>
      </c>
      <c r="J115" s="12"/>
      <c r="L115" s="20"/>
      <c r="M115" s="20"/>
      <c r="N115" s="20"/>
    </row>
    <row r="116" spans="1:14" ht="15.75">
      <c r="A116" s="160" t="s">
        <v>54</v>
      </c>
      <c r="B116" s="160"/>
      <c r="C116" s="160"/>
      <c r="D116" s="160"/>
      <c r="E116" s="160"/>
      <c r="F116" s="160"/>
      <c r="G116" s="213"/>
      <c r="H116" s="213"/>
      <c r="I116" s="230"/>
      <c r="J116" s="12"/>
      <c r="L116" s="8"/>
      <c r="M116" s="8"/>
      <c r="N116" s="8"/>
    </row>
    <row r="117" spans="1:14" ht="12.75">
      <c r="A117" s="218"/>
      <c r="B117" s="218"/>
      <c r="C117" s="218"/>
      <c r="D117" s="218"/>
      <c r="E117" s="218"/>
      <c r="F117" s="218"/>
      <c r="G117" s="218"/>
      <c r="H117" s="218"/>
      <c r="I117" s="216"/>
      <c r="J117" s="12"/>
      <c r="L117" s="8"/>
      <c r="M117" s="8"/>
      <c r="N117" s="8"/>
    </row>
    <row r="118" spans="1:14" ht="15.75">
      <c r="A118" s="160" t="s">
        <v>95</v>
      </c>
      <c r="B118" s="160"/>
      <c r="C118" s="160"/>
      <c r="D118" s="160"/>
      <c r="E118" s="160"/>
      <c r="F118" s="160"/>
      <c r="G118" s="178" t="s">
        <v>50</v>
      </c>
      <c r="H118" s="178" t="s">
        <v>12</v>
      </c>
      <c r="I118" s="229">
        <f>INPUTS!I20*(INPUTS!I42/'A-1-10'!I50)</f>
        <v>8.66205338809035</v>
      </c>
      <c r="J118" s="12"/>
      <c r="L118" s="20"/>
      <c r="M118" s="20"/>
      <c r="N118" s="20"/>
    </row>
    <row r="119" spans="1:14" ht="15.75">
      <c r="A119" s="160" t="s">
        <v>53</v>
      </c>
      <c r="B119" s="160"/>
      <c r="C119" s="160"/>
      <c r="D119" s="160"/>
      <c r="E119" s="160"/>
      <c r="F119" s="160"/>
      <c r="G119" s="213"/>
      <c r="H119" s="213"/>
      <c r="I119" s="230"/>
      <c r="J119" s="12"/>
      <c r="L119" s="8"/>
      <c r="M119" s="8"/>
      <c r="N119" s="8"/>
    </row>
    <row r="120" spans="1:14" ht="12.75">
      <c r="A120" s="218"/>
      <c r="B120" s="218"/>
      <c r="C120" s="218"/>
      <c r="D120" s="218"/>
      <c r="E120" s="218"/>
      <c r="F120" s="218"/>
      <c r="G120" s="218"/>
      <c r="H120" s="218"/>
      <c r="I120" s="216"/>
      <c r="J120" s="12"/>
      <c r="L120" s="8"/>
      <c r="M120" s="8"/>
      <c r="N120" s="8"/>
    </row>
    <row r="121" spans="1:14" ht="15.75" customHeight="1">
      <c r="A121" s="160" t="s">
        <v>96</v>
      </c>
      <c r="B121" s="160"/>
      <c r="C121" s="160"/>
      <c r="D121" s="160"/>
      <c r="E121" s="160"/>
      <c r="F121" s="160"/>
      <c r="G121" s="178" t="s">
        <v>51</v>
      </c>
      <c r="H121" s="178" t="s">
        <v>12</v>
      </c>
      <c r="I121" s="229">
        <f>MIN(I118,I115)</f>
        <v>1.503736337859884</v>
      </c>
      <c r="J121" s="12"/>
      <c r="L121" s="20"/>
      <c r="M121" s="20"/>
      <c r="N121" s="20"/>
    </row>
    <row r="122" spans="1:14" ht="15.75">
      <c r="A122" s="160" t="s">
        <v>52</v>
      </c>
      <c r="B122" s="160"/>
      <c r="C122" s="160"/>
      <c r="D122" s="160"/>
      <c r="E122" s="160"/>
      <c r="F122" s="160"/>
      <c r="G122" s="213"/>
      <c r="H122" s="213"/>
      <c r="I122" s="230"/>
      <c r="J122" s="12"/>
      <c r="L122" s="8"/>
      <c r="M122" s="8"/>
      <c r="N122" s="8"/>
    </row>
    <row r="123" spans="1:14" ht="13.5" thickBot="1">
      <c r="A123" s="223"/>
      <c r="B123" s="223"/>
      <c r="C123" s="223"/>
      <c r="D123" s="223"/>
      <c r="E123" s="223"/>
      <c r="F123" s="223"/>
      <c r="G123" s="223"/>
      <c r="H123" s="223"/>
      <c r="I123" s="236"/>
      <c r="J123" s="12"/>
      <c r="L123" s="8"/>
      <c r="M123" s="8"/>
      <c r="N123" s="8"/>
    </row>
    <row r="124" spans="1:14" ht="13.5" thickBot="1">
      <c r="A124" s="107" t="str">
        <f>UPPER("stress calculation")</f>
        <v>STRESS CALCULATION</v>
      </c>
      <c r="B124" s="108"/>
      <c r="C124" s="108"/>
      <c r="D124" s="108"/>
      <c r="E124" s="108"/>
      <c r="F124" s="108"/>
      <c r="G124" s="108"/>
      <c r="H124" s="108"/>
      <c r="I124" s="109"/>
      <c r="J124" s="12"/>
      <c r="L124" s="8"/>
      <c r="M124" s="8"/>
      <c r="N124" s="8"/>
    </row>
    <row r="125" spans="1:14" ht="15.75" customHeight="1">
      <c r="A125" s="168" t="s">
        <v>90</v>
      </c>
      <c r="B125" s="168"/>
      <c r="C125" s="168"/>
      <c r="D125" s="168"/>
      <c r="E125" s="168"/>
      <c r="F125" s="168"/>
      <c r="G125" s="213" t="s">
        <v>44</v>
      </c>
      <c r="H125" s="213" t="s">
        <v>12</v>
      </c>
      <c r="I125" s="230">
        <f>(('A-1-10'!I102+'A-1-10'!I105+'A-1-10'!I108)*100)/'A-1-10'!I91</f>
        <v>4383.507560916767</v>
      </c>
      <c r="J125" s="12"/>
      <c r="L125" s="20"/>
      <c r="M125" s="20"/>
      <c r="N125" s="20"/>
    </row>
    <row r="126" spans="1:14" ht="15.75">
      <c r="A126" s="160" t="s">
        <v>58</v>
      </c>
      <c r="B126" s="160"/>
      <c r="C126" s="160"/>
      <c r="D126" s="160"/>
      <c r="E126" s="160"/>
      <c r="F126" s="160"/>
      <c r="G126" s="213"/>
      <c r="H126" s="213"/>
      <c r="I126" s="230"/>
      <c r="J126" s="12"/>
      <c r="L126" s="8"/>
      <c r="M126" s="8"/>
      <c r="N126" s="8"/>
    </row>
    <row r="127" spans="1:14" ht="12.75">
      <c r="A127" s="218"/>
      <c r="B127" s="218"/>
      <c r="C127" s="218"/>
      <c r="D127" s="218"/>
      <c r="E127" s="218"/>
      <c r="F127" s="218"/>
      <c r="G127" s="218"/>
      <c r="H127" s="218"/>
      <c r="I127" s="216"/>
      <c r="J127" s="12"/>
      <c r="L127" s="8"/>
      <c r="M127" s="8"/>
      <c r="N127" s="8"/>
    </row>
    <row r="128" spans="1:14" ht="15.75" customHeight="1">
      <c r="A128" s="160" t="s">
        <v>91</v>
      </c>
      <c r="B128" s="160"/>
      <c r="C128" s="160"/>
      <c r="D128" s="160"/>
      <c r="E128" s="160"/>
      <c r="F128" s="160"/>
      <c r="G128" s="178" t="s">
        <v>45</v>
      </c>
      <c r="H128" s="178" t="s">
        <v>12</v>
      </c>
      <c r="I128" s="229">
        <f>INPUTS!I7*'A-1-10'!I50/'A-1-10'!I72</f>
        <v>909.3913333333333</v>
      </c>
      <c r="J128" s="12"/>
      <c r="L128" s="20"/>
      <c r="M128" s="20"/>
      <c r="N128" s="20"/>
    </row>
    <row r="129" spans="1:14" ht="15.75">
      <c r="A129" s="160" t="s">
        <v>57</v>
      </c>
      <c r="B129" s="160"/>
      <c r="C129" s="160"/>
      <c r="D129" s="160"/>
      <c r="E129" s="160"/>
      <c r="F129" s="160"/>
      <c r="G129" s="213"/>
      <c r="H129" s="213"/>
      <c r="I129" s="230"/>
      <c r="J129" s="12"/>
      <c r="L129" s="8"/>
      <c r="M129" s="8"/>
      <c r="N129" s="8"/>
    </row>
    <row r="130" spans="1:14" ht="12.75">
      <c r="A130" s="218"/>
      <c r="B130" s="218"/>
      <c r="C130" s="218"/>
      <c r="D130" s="218"/>
      <c r="E130" s="218"/>
      <c r="F130" s="218"/>
      <c r="G130" s="218"/>
      <c r="H130" s="218"/>
      <c r="I130" s="216"/>
      <c r="J130" s="12"/>
      <c r="L130" s="8"/>
      <c r="M130" s="8"/>
      <c r="N130" s="8"/>
    </row>
    <row r="131" spans="1:14" ht="15.75" customHeight="1">
      <c r="A131" s="27" t="s">
        <v>92</v>
      </c>
      <c r="B131" s="27"/>
      <c r="C131" s="27"/>
      <c r="D131" s="27"/>
      <c r="E131" s="27"/>
      <c r="F131" s="27"/>
      <c r="G131" s="178" t="s">
        <v>46</v>
      </c>
      <c r="H131" s="178" t="s">
        <v>12</v>
      </c>
      <c r="I131" s="174">
        <f>MAX(2*I125-I128,I128)</f>
        <v>7857.623788500201</v>
      </c>
      <c r="J131" s="12"/>
      <c r="L131" s="20"/>
      <c r="M131" s="20"/>
      <c r="N131" s="20"/>
    </row>
    <row r="132" spans="1:14" ht="15.75">
      <c r="A132" s="160" t="s">
        <v>56</v>
      </c>
      <c r="B132" s="160"/>
      <c r="C132" s="160"/>
      <c r="D132" s="160"/>
      <c r="E132" s="160"/>
      <c r="F132" s="160"/>
      <c r="G132" s="193"/>
      <c r="H132" s="193"/>
      <c r="I132" s="175"/>
      <c r="J132" s="12"/>
      <c r="L132" s="20"/>
      <c r="M132" s="20"/>
      <c r="N132" s="20"/>
    </row>
    <row r="133" spans="1:14" ht="13.5" thickBot="1">
      <c r="A133" s="214"/>
      <c r="B133" s="214"/>
      <c r="C133" s="214"/>
      <c r="D133" s="214"/>
      <c r="E133" s="214"/>
      <c r="F133" s="214"/>
      <c r="G133" s="214"/>
      <c r="H133" s="214"/>
      <c r="I133" s="215"/>
      <c r="J133" s="13"/>
      <c r="L133" s="20"/>
      <c r="M133" s="20"/>
      <c r="N133" s="20"/>
    </row>
    <row r="134" spans="1:15" ht="15">
      <c r="A134" s="204" t="str">
        <f>IF('A-1-10'!I131&lt;'A-1-10'!I95,UPPER("opening is adequately reinforced"),UPPER("opening is not adequately reinforced, increase thickness of reinforcing elements"))</f>
        <v>OPENING IS NOT ADEQUATELY REINFORCED, INCREASE THICKNESS OF REINFORCING ELEMENTS</v>
      </c>
      <c r="B134" s="205"/>
      <c r="C134" s="205"/>
      <c r="D134" s="205"/>
      <c r="E134" s="205"/>
      <c r="F134" s="205"/>
      <c r="G134" s="205"/>
      <c r="H134" s="205"/>
      <c r="I134" s="206"/>
      <c r="J134" s="18"/>
      <c r="K134" s="18"/>
      <c r="L134" s="22"/>
      <c r="M134" s="22"/>
      <c r="N134" s="22"/>
      <c r="O134" s="18"/>
    </row>
    <row r="135" spans="1:14" ht="21" customHeight="1" thickBot="1">
      <c r="A135" s="207"/>
      <c r="B135" s="208"/>
      <c r="C135" s="208"/>
      <c r="D135" s="208"/>
      <c r="E135" s="208"/>
      <c r="F135" s="208"/>
      <c r="G135" s="208"/>
      <c r="H135" s="208"/>
      <c r="I135" s="209"/>
      <c r="L135" s="20"/>
      <c r="M135" s="20"/>
      <c r="N135" s="20"/>
    </row>
    <row r="136" spans="1:14" ht="12.75">
      <c r="A136" s="20"/>
      <c r="B136" s="20"/>
      <c r="C136" s="20"/>
      <c r="D136" s="20"/>
      <c r="E136" s="20"/>
      <c r="F136" s="20"/>
      <c r="G136" s="20"/>
      <c r="H136" s="20"/>
      <c r="I136" s="20"/>
      <c r="L136" s="20"/>
      <c r="M136" s="20"/>
      <c r="N136" s="20"/>
    </row>
    <row r="137" spans="1:14" ht="12.75">
      <c r="A137" s="20"/>
      <c r="B137" s="20"/>
      <c r="C137" s="20"/>
      <c r="D137" s="20"/>
      <c r="E137" s="20"/>
      <c r="F137" s="20"/>
      <c r="G137" s="20"/>
      <c r="H137" s="20"/>
      <c r="I137" s="20"/>
      <c r="L137" s="20"/>
      <c r="M137" s="20"/>
      <c r="N137" s="20"/>
    </row>
    <row r="138" spans="1:14" ht="12.75">
      <c r="A138" s="20"/>
      <c r="B138" s="20"/>
      <c r="C138" s="20"/>
      <c r="D138" s="20"/>
      <c r="E138" s="20"/>
      <c r="F138" s="20"/>
      <c r="G138" s="20"/>
      <c r="H138" s="20"/>
      <c r="I138" s="20"/>
      <c r="L138" s="20"/>
      <c r="M138" s="20"/>
      <c r="N138" s="20"/>
    </row>
    <row r="139" spans="1:14" ht="12.75">
      <c r="A139" s="20"/>
      <c r="B139" s="20"/>
      <c r="C139" s="20"/>
      <c r="D139" s="20"/>
      <c r="E139" s="20"/>
      <c r="F139" s="20"/>
      <c r="G139" s="20"/>
      <c r="H139" s="20"/>
      <c r="I139" s="20"/>
      <c r="L139" s="20"/>
      <c r="M139" s="20"/>
      <c r="N139" s="20"/>
    </row>
    <row r="140" spans="1:14" ht="12.75">
      <c r="A140" s="20"/>
      <c r="B140" s="20"/>
      <c r="C140" s="20"/>
      <c r="D140" s="20"/>
      <c r="E140" s="20"/>
      <c r="F140" s="20"/>
      <c r="G140" s="20"/>
      <c r="H140" s="20"/>
      <c r="I140" s="20"/>
      <c r="L140" s="20"/>
      <c r="M140" s="20"/>
      <c r="N140" s="20"/>
    </row>
    <row r="141" spans="1:14" ht="12.75">
      <c r="A141" s="20"/>
      <c r="B141" s="20"/>
      <c r="C141" s="20"/>
      <c r="D141" s="20"/>
      <c r="E141" s="20"/>
      <c r="F141" s="20"/>
      <c r="G141" s="20"/>
      <c r="H141" s="20"/>
      <c r="I141" s="20"/>
      <c r="L141" s="20"/>
      <c r="M141" s="20"/>
      <c r="N141" s="20"/>
    </row>
    <row r="142" spans="1:14" ht="12.75">
      <c r="A142" s="20"/>
      <c r="B142" s="20"/>
      <c r="C142" s="20"/>
      <c r="D142" s="20"/>
      <c r="E142" s="20"/>
      <c r="F142" s="20"/>
      <c r="G142" s="20"/>
      <c r="H142" s="20"/>
      <c r="I142" s="20"/>
      <c r="L142" s="20"/>
      <c r="M142" s="20"/>
      <c r="N142" s="20"/>
    </row>
    <row r="143" spans="1:14" ht="12.75">
      <c r="A143" s="20"/>
      <c r="B143" s="20"/>
      <c r="C143" s="20"/>
      <c r="D143" s="20"/>
      <c r="E143" s="20"/>
      <c r="F143" s="20"/>
      <c r="G143" s="20"/>
      <c r="H143" s="20"/>
      <c r="I143" s="20"/>
      <c r="L143" s="20"/>
      <c r="M143" s="20"/>
      <c r="N143" s="20"/>
    </row>
    <row r="144" spans="1:14" ht="12.75">
      <c r="A144" s="20"/>
      <c r="B144" s="20"/>
      <c r="C144" s="20"/>
      <c r="D144" s="20"/>
      <c r="E144" s="20"/>
      <c r="F144" s="20"/>
      <c r="G144" s="20"/>
      <c r="H144" s="20"/>
      <c r="I144" s="20"/>
      <c r="L144" s="20"/>
      <c r="M144" s="20"/>
      <c r="N144" s="20"/>
    </row>
    <row r="145" spans="1:14" ht="12.75">
      <c r="A145" s="20"/>
      <c r="B145" s="20"/>
      <c r="C145" s="20"/>
      <c r="D145" s="20"/>
      <c r="E145" s="20"/>
      <c r="F145" s="20"/>
      <c r="G145" s="20"/>
      <c r="H145" s="20"/>
      <c r="I145" s="20"/>
      <c r="L145" s="20"/>
      <c r="M145" s="20"/>
      <c r="N145" s="20"/>
    </row>
    <row r="146" spans="1:14" ht="12.75">
      <c r="A146" s="20"/>
      <c r="B146" s="20"/>
      <c r="C146" s="20"/>
      <c r="D146" s="20"/>
      <c r="E146" s="20"/>
      <c r="F146" s="20"/>
      <c r="G146" s="20"/>
      <c r="H146" s="20"/>
      <c r="I146" s="20"/>
      <c r="L146" s="20"/>
      <c r="M146" s="20"/>
      <c r="N146" s="20"/>
    </row>
    <row r="147" spans="1:14" ht="12.75">
      <c r="A147" s="20"/>
      <c r="B147" s="20"/>
      <c r="C147" s="20"/>
      <c r="D147" s="20"/>
      <c r="E147" s="20"/>
      <c r="F147" s="20"/>
      <c r="G147" s="20"/>
      <c r="H147" s="20"/>
      <c r="I147" s="20"/>
      <c r="L147" s="20"/>
      <c r="M147" s="20"/>
      <c r="N147" s="20"/>
    </row>
    <row r="148" spans="1:14" ht="12.75">
      <c r="A148" s="20"/>
      <c r="B148" s="20"/>
      <c r="C148" s="20"/>
      <c r="D148" s="20"/>
      <c r="E148" s="20"/>
      <c r="F148" s="20"/>
      <c r="G148" s="20"/>
      <c r="H148" s="20"/>
      <c r="I148" s="20"/>
      <c r="L148" s="20"/>
      <c r="M148" s="20"/>
      <c r="N148" s="20"/>
    </row>
    <row r="149" spans="1:14" ht="12.75">
      <c r="A149" s="20"/>
      <c r="B149" s="20"/>
      <c r="C149" s="20"/>
      <c r="D149" s="20"/>
      <c r="E149" s="20"/>
      <c r="F149" s="20"/>
      <c r="G149" s="20"/>
      <c r="H149" s="20"/>
      <c r="I149" s="20"/>
      <c r="L149" s="20"/>
      <c r="M149" s="20"/>
      <c r="N149" s="20"/>
    </row>
    <row r="150" spans="1:14" ht="12.75">
      <c r="A150" s="20"/>
      <c r="B150" s="20"/>
      <c r="C150" s="20"/>
      <c r="D150" s="20"/>
      <c r="E150" s="20"/>
      <c r="F150" s="20"/>
      <c r="G150" s="20"/>
      <c r="H150" s="20"/>
      <c r="I150" s="20"/>
      <c r="L150" s="20"/>
      <c r="M150" s="20"/>
      <c r="N150" s="20"/>
    </row>
    <row r="151" spans="1:14" ht="12.75">
      <c r="A151" s="20"/>
      <c r="B151" s="20"/>
      <c r="C151" s="20"/>
      <c r="D151" s="20"/>
      <c r="E151" s="20"/>
      <c r="F151" s="20"/>
      <c r="G151" s="20"/>
      <c r="H151" s="20"/>
      <c r="I151" s="20"/>
      <c r="L151" s="20"/>
      <c r="M151" s="20"/>
      <c r="N151" s="20"/>
    </row>
    <row r="152" spans="1:14" ht="12.75">
      <c r="A152" s="20"/>
      <c r="B152" s="20"/>
      <c r="C152" s="20"/>
      <c r="D152" s="20"/>
      <c r="E152" s="20"/>
      <c r="F152" s="20"/>
      <c r="G152" s="20"/>
      <c r="H152" s="20"/>
      <c r="I152" s="20"/>
      <c r="L152" s="20"/>
      <c r="M152" s="20"/>
      <c r="N152" s="20"/>
    </row>
    <row r="153" spans="1:14" ht="12.75">
      <c r="A153" s="20"/>
      <c r="B153" s="20"/>
      <c r="C153" s="20"/>
      <c r="D153" s="20"/>
      <c r="E153" s="20"/>
      <c r="F153" s="20"/>
      <c r="G153" s="20"/>
      <c r="H153" s="20"/>
      <c r="I153" s="20"/>
      <c r="L153" s="20"/>
      <c r="M153" s="20"/>
      <c r="N153" s="20"/>
    </row>
    <row r="154" spans="1:14" ht="12.75">
      <c r="A154" s="20"/>
      <c r="B154" s="20"/>
      <c r="C154" s="20"/>
      <c r="D154" s="20"/>
      <c r="E154" s="20"/>
      <c r="F154" s="20"/>
      <c r="G154" s="20"/>
      <c r="H154" s="20"/>
      <c r="I154" s="20"/>
      <c r="L154" s="20"/>
      <c r="M154" s="20"/>
      <c r="N154" s="20"/>
    </row>
    <row r="155" spans="1:14" ht="12.75">
      <c r="A155" s="20"/>
      <c r="B155" s="20"/>
      <c r="C155" s="20"/>
      <c r="D155" s="20"/>
      <c r="E155" s="20"/>
      <c r="F155" s="20"/>
      <c r="G155" s="20"/>
      <c r="H155" s="20"/>
      <c r="I155" s="20"/>
      <c r="L155" s="20"/>
      <c r="M155" s="20"/>
      <c r="N155" s="20"/>
    </row>
    <row r="156" spans="1:14" ht="12.75">
      <c r="A156" s="20"/>
      <c r="B156" s="20"/>
      <c r="C156" s="20"/>
      <c r="D156" s="20"/>
      <c r="E156" s="20"/>
      <c r="F156" s="20"/>
      <c r="G156" s="20"/>
      <c r="H156" s="20"/>
      <c r="I156" s="20"/>
      <c r="L156" s="20"/>
      <c r="M156" s="20"/>
      <c r="N156" s="20"/>
    </row>
    <row r="157" spans="1:14" ht="12.75">
      <c r="A157" s="20"/>
      <c r="B157" s="20"/>
      <c r="C157" s="20"/>
      <c r="D157" s="20"/>
      <c r="E157" s="20"/>
      <c r="F157" s="20"/>
      <c r="G157" s="20"/>
      <c r="H157" s="20"/>
      <c r="I157" s="20"/>
      <c r="L157" s="20"/>
      <c r="M157" s="20"/>
      <c r="N157" s="20"/>
    </row>
    <row r="158" spans="1:14" ht="12.75">
      <c r="A158" s="20"/>
      <c r="B158" s="20"/>
      <c r="C158" s="20"/>
      <c r="D158" s="20"/>
      <c r="E158" s="20"/>
      <c r="F158" s="20"/>
      <c r="G158" s="20"/>
      <c r="H158" s="20"/>
      <c r="I158" s="20"/>
      <c r="L158" s="20"/>
      <c r="M158" s="20"/>
      <c r="N158" s="20"/>
    </row>
    <row r="159" spans="1:14" ht="12.75">
      <c r="A159" s="20"/>
      <c r="B159" s="20"/>
      <c r="C159" s="20"/>
      <c r="D159" s="20"/>
      <c r="E159" s="20"/>
      <c r="F159" s="20"/>
      <c r="G159" s="20"/>
      <c r="H159" s="20"/>
      <c r="I159" s="20"/>
      <c r="L159" s="20"/>
      <c r="M159" s="20"/>
      <c r="N159" s="20"/>
    </row>
    <row r="160" spans="1:14" ht="12.75">
      <c r="A160" s="20"/>
      <c r="B160" s="20"/>
      <c r="C160" s="20"/>
      <c r="D160" s="20"/>
      <c r="E160" s="20"/>
      <c r="F160" s="20"/>
      <c r="G160" s="20"/>
      <c r="H160" s="20"/>
      <c r="I160" s="20"/>
      <c r="L160" s="20"/>
      <c r="M160" s="20"/>
      <c r="N160" s="20"/>
    </row>
    <row r="161" spans="1:14" ht="12.75">
      <c r="A161" s="20"/>
      <c r="B161" s="20"/>
      <c r="C161" s="20"/>
      <c r="D161" s="20"/>
      <c r="E161" s="20"/>
      <c r="F161" s="20"/>
      <c r="G161" s="20"/>
      <c r="H161" s="20"/>
      <c r="I161" s="20"/>
      <c r="L161" s="20"/>
      <c r="M161" s="20"/>
      <c r="N161" s="20"/>
    </row>
    <row r="162" spans="1:14" ht="12.75">
      <c r="A162" s="20"/>
      <c r="B162" s="20"/>
      <c r="C162" s="20"/>
      <c r="D162" s="20"/>
      <c r="E162" s="20"/>
      <c r="F162" s="20"/>
      <c r="G162" s="20"/>
      <c r="H162" s="20"/>
      <c r="I162" s="20"/>
      <c r="L162" s="20"/>
      <c r="M162" s="20"/>
      <c r="N162" s="20"/>
    </row>
    <row r="163" spans="1:14" ht="12.75">
      <c r="A163" s="20"/>
      <c r="B163" s="20"/>
      <c r="C163" s="20"/>
      <c r="D163" s="20"/>
      <c r="E163" s="20"/>
      <c r="F163" s="20"/>
      <c r="G163" s="20"/>
      <c r="H163" s="20"/>
      <c r="I163" s="20"/>
      <c r="L163" s="20"/>
      <c r="M163" s="20"/>
      <c r="N163" s="20"/>
    </row>
    <row r="164" spans="1:14" ht="12.75">
      <c r="A164" s="20"/>
      <c r="B164" s="20"/>
      <c r="C164" s="20"/>
      <c r="D164" s="20"/>
      <c r="E164" s="20"/>
      <c r="F164" s="20"/>
      <c r="G164" s="20"/>
      <c r="H164" s="20"/>
      <c r="I164" s="20"/>
      <c r="L164" s="20"/>
      <c r="M164" s="20"/>
      <c r="N164" s="20"/>
    </row>
    <row r="165" spans="1:14" ht="12.75">
      <c r="A165" s="20"/>
      <c r="B165" s="20"/>
      <c r="C165" s="20"/>
      <c r="D165" s="20"/>
      <c r="E165" s="20"/>
      <c r="F165" s="20"/>
      <c r="G165" s="20"/>
      <c r="H165" s="20"/>
      <c r="I165" s="20"/>
      <c r="L165" s="20"/>
      <c r="M165" s="20"/>
      <c r="N165" s="20"/>
    </row>
    <row r="166" spans="1:14" ht="12.75">
      <c r="A166" s="20"/>
      <c r="B166" s="20"/>
      <c r="C166" s="20"/>
      <c r="D166" s="20"/>
      <c r="E166" s="20"/>
      <c r="F166" s="20"/>
      <c r="G166" s="20"/>
      <c r="H166" s="20"/>
      <c r="I166" s="20"/>
      <c r="L166" s="20"/>
      <c r="M166" s="20"/>
      <c r="N166" s="20"/>
    </row>
    <row r="167" spans="1:14" ht="12.75">
      <c r="A167" s="20"/>
      <c r="B167" s="20"/>
      <c r="C167" s="20"/>
      <c r="D167" s="20"/>
      <c r="E167" s="20"/>
      <c r="F167" s="20"/>
      <c r="G167" s="20"/>
      <c r="H167" s="20"/>
      <c r="I167" s="20"/>
      <c r="L167" s="20"/>
      <c r="M167" s="20"/>
      <c r="N167" s="20"/>
    </row>
    <row r="168" spans="1:14" ht="12.75">
      <c r="A168" s="20"/>
      <c r="B168" s="20"/>
      <c r="C168" s="20"/>
      <c r="D168" s="20"/>
      <c r="E168" s="20"/>
      <c r="F168" s="20"/>
      <c r="G168" s="20"/>
      <c r="H168" s="20"/>
      <c r="I168" s="20"/>
      <c r="L168" s="20"/>
      <c r="M168" s="20"/>
      <c r="N168" s="20"/>
    </row>
    <row r="169" spans="1:14" ht="12.75">
      <c r="A169" s="20"/>
      <c r="B169" s="20"/>
      <c r="C169" s="20"/>
      <c r="D169" s="20"/>
      <c r="E169" s="20"/>
      <c r="F169" s="20"/>
      <c r="G169" s="20"/>
      <c r="H169" s="20"/>
      <c r="I169" s="20"/>
      <c r="L169" s="20"/>
      <c r="M169" s="20"/>
      <c r="N169" s="20"/>
    </row>
    <row r="170" spans="1:14" ht="12.75">
      <c r="A170" s="20"/>
      <c r="B170" s="20"/>
      <c r="C170" s="20"/>
      <c r="D170" s="20"/>
      <c r="E170" s="20"/>
      <c r="F170" s="20"/>
      <c r="G170" s="20"/>
      <c r="H170" s="20"/>
      <c r="I170" s="20"/>
      <c r="L170" s="20"/>
      <c r="M170" s="20"/>
      <c r="N170" s="20"/>
    </row>
    <row r="171" spans="1:14" ht="12.75">
      <c r="A171" s="20"/>
      <c r="B171" s="20"/>
      <c r="C171" s="20"/>
      <c r="D171" s="20"/>
      <c r="E171" s="20"/>
      <c r="F171" s="20"/>
      <c r="G171" s="20"/>
      <c r="H171" s="20"/>
      <c r="I171" s="20"/>
      <c r="L171" s="20"/>
      <c r="M171" s="20"/>
      <c r="N171" s="20"/>
    </row>
    <row r="172" spans="1:14" ht="12.75">
      <c r="A172" s="20"/>
      <c r="B172" s="20"/>
      <c r="C172" s="20"/>
      <c r="D172" s="20"/>
      <c r="E172" s="20"/>
      <c r="F172" s="20"/>
      <c r="G172" s="20"/>
      <c r="H172" s="20"/>
      <c r="I172" s="20"/>
      <c r="L172" s="20"/>
      <c r="M172" s="20"/>
      <c r="N172" s="20"/>
    </row>
    <row r="173" spans="1:14" ht="12.75">
      <c r="A173" s="20"/>
      <c r="B173" s="20"/>
      <c r="C173" s="20"/>
      <c r="D173" s="20"/>
      <c r="E173" s="20"/>
      <c r="F173" s="20"/>
      <c r="G173" s="20"/>
      <c r="H173" s="20"/>
      <c r="I173" s="20"/>
      <c r="L173" s="20"/>
      <c r="M173" s="20"/>
      <c r="N173" s="20"/>
    </row>
    <row r="174" spans="1:14" ht="12.75">
      <c r="A174" s="20"/>
      <c r="B174" s="20"/>
      <c r="C174" s="20"/>
      <c r="D174" s="20"/>
      <c r="E174" s="20"/>
      <c r="F174" s="20"/>
      <c r="G174" s="20"/>
      <c r="H174" s="20"/>
      <c r="I174" s="20"/>
      <c r="L174" s="20"/>
      <c r="M174" s="20"/>
      <c r="N174" s="20"/>
    </row>
    <row r="175" spans="1:14" ht="12.75">
      <c r="A175" s="20"/>
      <c r="B175" s="20"/>
      <c r="C175" s="20"/>
      <c r="D175" s="20"/>
      <c r="E175" s="20"/>
      <c r="F175" s="20"/>
      <c r="G175" s="20"/>
      <c r="H175" s="20"/>
      <c r="I175" s="20"/>
      <c r="L175" s="20"/>
      <c r="M175" s="20"/>
      <c r="N175" s="20"/>
    </row>
    <row r="176" spans="1:14" ht="12.75">
      <c r="A176" s="20"/>
      <c r="B176" s="20"/>
      <c r="C176" s="20"/>
      <c r="D176" s="20"/>
      <c r="E176" s="20"/>
      <c r="F176" s="20"/>
      <c r="G176" s="20"/>
      <c r="H176" s="20"/>
      <c r="I176" s="20"/>
      <c r="L176" s="20"/>
      <c r="M176" s="20"/>
      <c r="N176" s="20"/>
    </row>
    <row r="177" spans="1:14" ht="12.75">
      <c r="A177" s="20"/>
      <c r="B177" s="20"/>
      <c r="C177" s="20"/>
      <c r="D177" s="20"/>
      <c r="E177" s="20"/>
      <c r="F177" s="20"/>
      <c r="G177" s="20"/>
      <c r="H177" s="20"/>
      <c r="I177" s="20"/>
      <c r="L177" s="20"/>
      <c r="M177" s="20"/>
      <c r="N177" s="20"/>
    </row>
    <row r="178" spans="1:14" ht="12.75">
      <c r="A178" s="20"/>
      <c r="B178" s="20"/>
      <c r="C178" s="20"/>
      <c r="D178" s="20"/>
      <c r="E178" s="20"/>
      <c r="F178" s="20"/>
      <c r="G178" s="20"/>
      <c r="H178" s="20"/>
      <c r="I178" s="20"/>
      <c r="L178" s="20"/>
      <c r="M178" s="20"/>
      <c r="N178" s="20"/>
    </row>
    <row r="179" spans="1:14" ht="12.75">
      <c r="A179" s="20"/>
      <c r="B179" s="20"/>
      <c r="C179" s="20"/>
      <c r="D179" s="20"/>
      <c r="E179" s="20"/>
      <c r="F179" s="20"/>
      <c r="G179" s="20"/>
      <c r="H179" s="20"/>
      <c r="I179" s="20"/>
      <c r="L179" s="20"/>
      <c r="M179" s="20"/>
      <c r="N179" s="20"/>
    </row>
    <row r="180" spans="1:14" ht="12.75">
      <c r="A180" s="20"/>
      <c r="B180" s="20"/>
      <c r="C180" s="20"/>
      <c r="D180" s="20"/>
      <c r="E180" s="20"/>
      <c r="F180" s="20"/>
      <c r="G180" s="20"/>
      <c r="H180" s="20"/>
      <c r="I180" s="20"/>
      <c r="L180" s="20"/>
      <c r="M180" s="20"/>
      <c r="N180" s="20"/>
    </row>
    <row r="181" spans="1:14" ht="12.75">
      <c r="A181" s="20"/>
      <c r="B181" s="20"/>
      <c r="C181" s="20"/>
      <c r="D181" s="20"/>
      <c r="E181" s="20"/>
      <c r="F181" s="20"/>
      <c r="G181" s="20"/>
      <c r="H181" s="20"/>
      <c r="I181" s="20"/>
      <c r="L181" s="20"/>
      <c r="M181" s="20"/>
      <c r="N181" s="20"/>
    </row>
    <row r="182" spans="1:14" ht="12.75">
      <c r="A182" s="20"/>
      <c r="B182" s="20"/>
      <c r="C182" s="20"/>
      <c r="D182" s="20"/>
      <c r="E182" s="20"/>
      <c r="F182" s="20"/>
      <c r="G182" s="20"/>
      <c r="H182" s="20"/>
      <c r="I182" s="20"/>
      <c r="L182" s="20"/>
      <c r="M182" s="20"/>
      <c r="N182" s="20"/>
    </row>
    <row r="183" spans="1:14" ht="12.75">
      <c r="A183" s="20"/>
      <c r="B183" s="20"/>
      <c r="C183" s="20"/>
      <c r="D183" s="20"/>
      <c r="E183" s="20"/>
      <c r="F183" s="20"/>
      <c r="G183" s="20"/>
      <c r="H183" s="20"/>
      <c r="I183" s="20"/>
      <c r="L183" s="20"/>
      <c r="M183" s="20"/>
      <c r="N183" s="20"/>
    </row>
    <row r="184" spans="1:14" ht="12.75">
      <c r="A184" s="20"/>
      <c r="B184" s="20"/>
      <c r="C184" s="20"/>
      <c r="D184" s="20"/>
      <c r="E184" s="20"/>
      <c r="F184" s="20"/>
      <c r="G184" s="20"/>
      <c r="H184" s="20"/>
      <c r="I184" s="20"/>
      <c r="L184" s="20"/>
      <c r="M184" s="20"/>
      <c r="N184" s="20"/>
    </row>
    <row r="185" spans="1:14" ht="12.75">
      <c r="A185" s="20"/>
      <c r="B185" s="20"/>
      <c r="C185" s="20"/>
      <c r="D185" s="20"/>
      <c r="E185" s="20"/>
      <c r="F185" s="20"/>
      <c r="G185" s="20"/>
      <c r="H185" s="20"/>
      <c r="I185" s="20"/>
      <c r="L185" s="20"/>
      <c r="M185" s="20"/>
      <c r="N185" s="20"/>
    </row>
    <row r="186" spans="1:14" ht="12.75">
      <c r="A186" s="20"/>
      <c r="B186" s="20"/>
      <c r="C186" s="20"/>
      <c r="D186" s="20"/>
      <c r="E186" s="20"/>
      <c r="F186" s="20"/>
      <c r="G186" s="20"/>
      <c r="H186" s="20"/>
      <c r="I186" s="20"/>
      <c r="L186" s="20"/>
      <c r="M186" s="20"/>
      <c r="N186" s="20"/>
    </row>
    <row r="187" spans="1:14" ht="12.75">
      <c r="A187" s="20"/>
      <c r="B187" s="20"/>
      <c r="C187" s="20"/>
      <c r="D187" s="20"/>
      <c r="E187" s="20"/>
      <c r="F187" s="20"/>
      <c r="G187" s="20"/>
      <c r="H187" s="20"/>
      <c r="I187" s="20"/>
      <c r="L187" s="20"/>
      <c r="M187" s="20"/>
      <c r="N187" s="20"/>
    </row>
    <row r="188" spans="1:14" ht="12.75">
      <c r="A188" s="20"/>
      <c r="B188" s="20"/>
      <c r="C188" s="20"/>
      <c r="D188" s="20"/>
      <c r="E188" s="20"/>
      <c r="F188" s="20"/>
      <c r="G188" s="20"/>
      <c r="H188" s="20"/>
      <c r="I188" s="20"/>
      <c r="L188" s="20"/>
      <c r="M188" s="20"/>
      <c r="N188" s="20"/>
    </row>
    <row r="189" spans="1:14" ht="12.75">
      <c r="A189" s="20"/>
      <c r="B189" s="20"/>
      <c r="C189" s="20"/>
      <c r="D189" s="20"/>
      <c r="E189" s="20"/>
      <c r="F189" s="20"/>
      <c r="G189" s="20"/>
      <c r="H189" s="20"/>
      <c r="I189" s="20"/>
      <c r="L189" s="20"/>
      <c r="M189" s="20"/>
      <c r="N189" s="20"/>
    </row>
    <row r="190" spans="1:14" ht="12.75">
      <c r="A190" s="20"/>
      <c r="B190" s="20"/>
      <c r="C190" s="20"/>
      <c r="D190" s="20"/>
      <c r="E190" s="20"/>
      <c r="F190" s="20"/>
      <c r="G190" s="20"/>
      <c r="H190" s="20"/>
      <c r="I190" s="20"/>
      <c r="L190" s="20"/>
      <c r="M190" s="20"/>
      <c r="N190" s="20"/>
    </row>
    <row r="191" spans="1:14" ht="12.75">
      <c r="A191" s="20"/>
      <c r="B191" s="20"/>
      <c r="C191" s="20"/>
      <c r="D191" s="20"/>
      <c r="E191" s="20"/>
      <c r="F191" s="20"/>
      <c r="G191" s="20"/>
      <c r="H191" s="20"/>
      <c r="I191" s="20"/>
      <c r="L191" s="20"/>
      <c r="M191" s="20"/>
      <c r="N191" s="20"/>
    </row>
    <row r="192" spans="1:14" ht="12.75">
      <c r="A192" s="20"/>
      <c r="B192" s="20"/>
      <c r="C192" s="20"/>
      <c r="D192" s="20"/>
      <c r="E192" s="20"/>
      <c r="F192" s="20"/>
      <c r="G192" s="20"/>
      <c r="H192" s="20"/>
      <c r="I192" s="20"/>
      <c r="L192" s="20"/>
      <c r="M192" s="20"/>
      <c r="N192" s="20"/>
    </row>
    <row r="193" spans="1:14" ht="12.75">
      <c r="A193" s="20"/>
      <c r="B193" s="20"/>
      <c r="C193" s="20"/>
      <c r="D193" s="20"/>
      <c r="E193" s="20"/>
      <c r="F193" s="20"/>
      <c r="G193" s="20"/>
      <c r="H193" s="20"/>
      <c r="I193" s="20"/>
      <c r="L193" s="20"/>
      <c r="M193" s="20"/>
      <c r="N193" s="20"/>
    </row>
    <row r="194" spans="1:14" ht="12.75">
      <c r="A194" s="20"/>
      <c r="B194" s="20"/>
      <c r="C194" s="20"/>
      <c r="D194" s="20"/>
      <c r="E194" s="20"/>
      <c r="F194" s="20"/>
      <c r="G194" s="20"/>
      <c r="H194" s="20"/>
      <c r="I194" s="20"/>
      <c r="L194" s="20"/>
      <c r="M194" s="20"/>
      <c r="N194" s="20"/>
    </row>
    <row r="195" spans="1:14" ht="12.75">
      <c r="A195" s="20"/>
      <c r="B195" s="20"/>
      <c r="C195" s="20"/>
      <c r="D195" s="20"/>
      <c r="E195" s="20"/>
      <c r="F195" s="20"/>
      <c r="G195" s="20"/>
      <c r="H195" s="20"/>
      <c r="I195" s="20"/>
      <c r="L195" s="20"/>
      <c r="M195" s="20"/>
      <c r="N195" s="20"/>
    </row>
    <row r="196" spans="1:14" ht="12.75">
      <c r="A196" s="20"/>
      <c r="B196" s="20"/>
      <c r="C196" s="20"/>
      <c r="D196" s="20"/>
      <c r="E196" s="20"/>
      <c r="F196" s="20"/>
      <c r="G196" s="20"/>
      <c r="H196" s="20"/>
      <c r="I196" s="20"/>
      <c r="L196" s="20"/>
      <c r="M196" s="20"/>
      <c r="N196" s="20"/>
    </row>
    <row r="197" spans="1:14" ht="12.75">
      <c r="A197" s="20"/>
      <c r="B197" s="20"/>
      <c r="C197" s="20"/>
      <c r="D197" s="20"/>
      <c r="E197" s="20"/>
      <c r="F197" s="20"/>
      <c r="G197" s="20"/>
      <c r="H197" s="20"/>
      <c r="I197" s="20"/>
      <c r="L197" s="20"/>
      <c r="M197" s="20"/>
      <c r="N197" s="20"/>
    </row>
    <row r="198" spans="1:14" ht="12.75">
      <c r="A198" s="20"/>
      <c r="B198" s="20"/>
      <c r="C198" s="20"/>
      <c r="D198" s="20"/>
      <c r="E198" s="20"/>
      <c r="F198" s="20"/>
      <c r="G198" s="20"/>
      <c r="H198" s="20"/>
      <c r="I198" s="20"/>
      <c r="L198" s="20"/>
      <c r="M198" s="20"/>
      <c r="N198" s="20"/>
    </row>
    <row r="199" spans="1:14" ht="12.75">
      <c r="A199" s="20"/>
      <c r="B199" s="20"/>
      <c r="C199" s="20"/>
      <c r="D199" s="20"/>
      <c r="E199" s="20"/>
      <c r="F199" s="20"/>
      <c r="G199" s="20"/>
      <c r="H199" s="20"/>
      <c r="I199" s="20"/>
      <c r="L199" s="20"/>
      <c r="M199" s="20"/>
      <c r="N199" s="20"/>
    </row>
    <row r="200" spans="1:14" ht="12.75">
      <c r="A200" s="20"/>
      <c r="B200" s="20"/>
      <c r="C200" s="20"/>
      <c r="D200" s="20"/>
      <c r="E200" s="20"/>
      <c r="F200" s="20"/>
      <c r="G200" s="20"/>
      <c r="H200" s="20"/>
      <c r="I200" s="20"/>
      <c r="L200" s="20"/>
      <c r="M200" s="20"/>
      <c r="N200" s="20"/>
    </row>
    <row r="201" spans="1:14" ht="12.75">
      <c r="A201" s="20"/>
      <c r="B201" s="20"/>
      <c r="C201" s="20"/>
      <c r="D201" s="20"/>
      <c r="E201" s="20"/>
      <c r="F201" s="20"/>
      <c r="G201" s="20"/>
      <c r="H201" s="20"/>
      <c r="I201" s="20"/>
      <c r="L201" s="20"/>
      <c r="M201" s="20"/>
      <c r="N201" s="20"/>
    </row>
    <row r="202" spans="1:14" ht="12.75">
      <c r="A202" s="20"/>
      <c r="B202" s="20"/>
      <c r="C202" s="20"/>
      <c r="D202" s="20"/>
      <c r="E202" s="20"/>
      <c r="F202" s="20"/>
      <c r="G202" s="20"/>
      <c r="H202" s="20"/>
      <c r="I202" s="20"/>
      <c r="L202" s="20"/>
      <c r="M202" s="20"/>
      <c r="N202" s="20"/>
    </row>
    <row r="203" spans="1:14" ht="12.75">
      <c r="A203" s="20"/>
      <c r="B203" s="20"/>
      <c r="C203" s="20"/>
      <c r="D203" s="20"/>
      <c r="E203" s="20"/>
      <c r="F203" s="20"/>
      <c r="G203" s="20"/>
      <c r="H203" s="20"/>
      <c r="I203" s="20"/>
      <c r="L203" s="20"/>
      <c r="M203" s="20"/>
      <c r="N203" s="20"/>
    </row>
    <row r="204" spans="1:14" ht="12.75">
      <c r="A204" s="20"/>
      <c r="B204" s="20"/>
      <c r="C204" s="20"/>
      <c r="D204" s="20"/>
      <c r="E204" s="20"/>
      <c r="F204" s="20"/>
      <c r="G204" s="20"/>
      <c r="H204" s="20"/>
      <c r="I204" s="20"/>
      <c r="L204" s="20"/>
      <c r="M204" s="20"/>
      <c r="N204" s="20"/>
    </row>
    <row r="205" spans="1:14" ht="12.75">
      <c r="A205" s="20"/>
      <c r="B205" s="20"/>
      <c r="C205" s="20"/>
      <c r="D205" s="20"/>
      <c r="E205" s="20"/>
      <c r="F205" s="20"/>
      <c r="G205" s="20"/>
      <c r="H205" s="20"/>
      <c r="I205" s="20"/>
      <c r="L205" s="20"/>
      <c r="M205" s="20"/>
      <c r="N205" s="20"/>
    </row>
    <row r="206" spans="1:14" ht="12.75">
      <c r="A206" s="20"/>
      <c r="B206" s="20"/>
      <c r="C206" s="20"/>
      <c r="D206" s="20"/>
      <c r="E206" s="20"/>
      <c r="F206" s="20"/>
      <c r="G206" s="20"/>
      <c r="H206" s="20"/>
      <c r="I206" s="20"/>
      <c r="L206" s="20"/>
      <c r="M206" s="20"/>
      <c r="N206" s="20"/>
    </row>
    <row r="207" spans="1:14" ht="12.75">
      <c r="A207" s="20"/>
      <c r="B207" s="20"/>
      <c r="C207" s="20"/>
      <c r="D207" s="20"/>
      <c r="E207" s="20"/>
      <c r="F207" s="20"/>
      <c r="G207" s="20"/>
      <c r="H207" s="20"/>
      <c r="I207" s="20"/>
      <c r="L207" s="20"/>
      <c r="M207" s="20"/>
      <c r="N207" s="20"/>
    </row>
    <row r="208" spans="1:14" ht="12.75">
      <c r="A208" s="20"/>
      <c r="B208" s="20"/>
      <c r="C208" s="20"/>
      <c r="D208" s="20"/>
      <c r="E208" s="20"/>
      <c r="F208" s="20"/>
      <c r="G208" s="20"/>
      <c r="H208" s="20"/>
      <c r="I208" s="20"/>
      <c r="L208" s="20"/>
      <c r="M208" s="20"/>
      <c r="N208" s="20"/>
    </row>
    <row r="209" spans="1:14" ht="12.75">
      <c r="A209" s="20"/>
      <c r="B209" s="20"/>
      <c r="C209" s="20"/>
      <c r="D209" s="20"/>
      <c r="E209" s="20"/>
      <c r="F209" s="20"/>
      <c r="G209" s="20"/>
      <c r="H209" s="20"/>
      <c r="I209" s="20"/>
      <c r="L209" s="20"/>
      <c r="M209" s="20"/>
      <c r="N209" s="20"/>
    </row>
    <row r="210" spans="1:14" ht="12.75">
      <c r="A210" s="20"/>
      <c r="B210" s="20"/>
      <c r="C210" s="20"/>
      <c r="D210" s="20"/>
      <c r="E210" s="20"/>
      <c r="F210" s="20"/>
      <c r="G210" s="20"/>
      <c r="H210" s="20"/>
      <c r="I210" s="20"/>
      <c r="L210" s="20"/>
      <c r="M210" s="20"/>
      <c r="N210" s="20"/>
    </row>
    <row r="211" spans="1:14" ht="12.75">
      <c r="A211" s="20"/>
      <c r="B211" s="20"/>
      <c r="C211" s="20"/>
      <c r="D211" s="20"/>
      <c r="E211" s="20"/>
      <c r="F211" s="20"/>
      <c r="G211" s="20"/>
      <c r="H211" s="20"/>
      <c r="I211" s="20"/>
      <c r="L211" s="20"/>
      <c r="M211" s="20"/>
      <c r="N211" s="20"/>
    </row>
    <row r="212" spans="1:14" ht="12.75">
      <c r="A212" s="20"/>
      <c r="B212" s="20"/>
      <c r="C212" s="20"/>
      <c r="D212" s="20"/>
      <c r="E212" s="20"/>
      <c r="F212" s="20"/>
      <c r="G212" s="20"/>
      <c r="H212" s="20"/>
      <c r="I212" s="20"/>
      <c r="L212" s="20"/>
      <c r="M212" s="20"/>
      <c r="N212" s="20"/>
    </row>
    <row r="213" spans="1:14" ht="12.75">
      <c r="A213" s="20"/>
      <c r="B213" s="20"/>
      <c r="C213" s="20"/>
      <c r="D213" s="20"/>
      <c r="E213" s="20"/>
      <c r="F213" s="20"/>
      <c r="G213" s="20"/>
      <c r="H213" s="20"/>
      <c r="I213" s="20"/>
      <c r="L213" s="20"/>
      <c r="M213" s="20"/>
      <c r="N213" s="20"/>
    </row>
    <row r="214" spans="1:14" ht="12.75">
      <c r="A214" s="20"/>
      <c r="B214" s="20"/>
      <c r="C214" s="20"/>
      <c r="D214" s="20"/>
      <c r="E214" s="20"/>
      <c r="F214" s="20"/>
      <c r="G214" s="20"/>
      <c r="H214" s="20"/>
      <c r="I214" s="20"/>
      <c r="L214" s="20"/>
      <c r="M214" s="20"/>
      <c r="N214" s="20"/>
    </row>
    <row r="215" spans="1:14" ht="12.75">
      <c r="A215" s="20"/>
      <c r="B215" s="20"/>
      <c r="C215" s="20"/>
      <c r="D215" s="20"/>
      <c r="E215" s="20"/>
      <c r="F215" s="20"/>
      <c r="G215" s="20"/>
      <c r="H215" s="20"/>
      <c r="I215" s="20"/>
      <c r="L215" s="20"/>
      <c r="M215" s="20"/>
      <c r="N215" s="20"/>
    </row>
    <row r="216" spans="1:14" ht="12.75">
      <c r="A216" s="20"/>
      <c r="B216" s="20"/>
      <c r="C216" s="20"/>
      <c r="D216" s="20"/>
      <c r="E216" s="20"/>
      <c r="F216" s="20"/>
      <c r="G216" s="20"/>
      <c r="H216" s="20"/>
      <c r="I216" s="20"/>
      <c r="L216" s="20"/>
      <c r="M216" s="20"/>
      <c r="N216" s="20"/>
    </row>
    <row r="217" spans="1:14" ht="12.75">
      <c r="A217" s="20"/>
      <c r="B217" s="20"/>
      <c r="C217" s="20"/>
      <c r="D217" s="20"/>
      <c r="E217" s="20"/>
      <c r="F217" s="20"/>
      <c r="G217" s="20"/>
      <c r="H217" s="20"/>
      <c r="I217" s="20"/>
      <c r="L217" s="20"/>
      <c r="M217" s="20"/>
      <c r="N217" s="20"/>
    </row>
    <row r="218" spans="1:14" ht="12.75">
      <c r="A218" s="20"/>
      <c r="B218" s="20"/>
      <c r="C218" s="20"/>
      <c r="D218" s="20"/>
      <c r="E218" s="20"/>
      <c r="F218" s="20"/>
      <c r="G218" s="20"/>
      <c r="H218" s="20"/>
      <c r="I218" s="20"/>
      <c r="L218" s="20"/>
      <c r="M218" s="20"/>
      <c r="N218" s="20"/>
    </row>
    <row r="219" spans="1:14" ht="12.75">
      <c r="A219" s="20"/>
      <c r="B219" s="20"/>
      <c r="C219" s="20"/>
      <c r="D219" s="20"/>
      <c r="E219" s="20"/>
      <c r="F219" s="20"/>
      <c r="G219" s="20"/>
      <c r="H219" s="20"/>
      <c r="I219" s="20"/>
      <c r="L219" s="20"/>
      <c r="M219" s="20"/>
      <c r="N219" s="20"/>
    </row>
    <row r="220" spans="1:14" ht="12.75">
      <c r="A220" s="20"/>
      <c r="B220" s="20"/>
      <c r="C220" s="20"/>
      <c r="D220" s="20"/>
      <c r="E220" s="20"/>
      <c r="F220" s="20"/>
      <c r="G220" s="20"/>
      <c r="H220" s="20"/>
      <c r="I220" s="20"/>
      <c r="L220" s="20"/>
      <c r="M220" s="20"/>
      <c r="N220" s="20"/>
    </row>
    <row r="221" spans="1:14" ht="12.75">
      <c r="A221" s="20"/>
      <c r="B221" s="20"/>
      <c r="C221" s="20"/>
      <c r="D221" s="20"/>
      <c r="E221" s="20"/>
      <c r="F221" s="20"/>
      <c r="G221" s="20"/>
      <c r="H221" s="20"/>
      <c r="I221" s="20"/>
      <c r="L221" s="20"/>
      <c r="M221" s="20"/>
      <c r="N221" s="20"/>
    </row>
    <row r="222" spans="1:14" ht="12.75">
      <c r="A222" s="20"/>
      <c r="B222" s="20"/>
      <c r="C222" s="20"/>
      <c r="D222" s="20"/>
      <c r="E222" s="20"/>
      <c r="F222" s="20"/>
      <c r="G222" s="20"/>
      <c r="H222" s="20"/>
      <c r="I222" s="20"/>
      <c r="L222" s="20"/>
      <c r="M222" s="20"/>
      <c r="N222" s="20"/>
    </row>
    <row r="223" spans="1:14" ht="12.75">
      <c r="A223" s="20"/>
      <c r="B223" s="20"/>
      <c r="C223" s="20"/>
      <c r="D223" s="20"/>
      <c r="E223" s="20"/>
      <c r="F223" s="20"/>
      <c r="G223" s="20"/>
      <c r="H223" s="20"/>
      <c r="I223" s="20"/>
      <c r="L223" s="20"/>
      <c r="M223" s="20"/>
      <c r="N223" s="20"/>
    </row>
    <row r="224" spans="1:14" ht="12.75">
      <c r="A224" s="20"/>
      <c r="B224" s="20"/>
      <c r="C224" s="20"/>
      <c r="D224" s="20"/>
      <c r="E224" s="20"/>
      <c r="F224" s="20"/>
      <c r="G224" s="20"/>
      <c r="H224" s="20"/>
      <c r="I224" s="20"/>
      <c r="L224" s="20"/>
      <c r="M224" s="20"/>
      <c r="N224" s="20"/>
    </row>
    <row r="225" spans="1:14" ht="12.75">
      <c r="A225" s="20"/>
      <c r="B225" s="20"/>
      <c r="C225" s="20"/>
      <c r="D225" s="20"/>
      <c r="E225" s="20"/>
      <c r="F225" s="20"/>
      <c r="G225" s="20"/>
      <c r="H225" s="20"/>
      <c r="I225" s="20"/>
      <c r="L225" s="20"/>
      <c r="M225" s="20"/>
      <c r="N225" s="20"/>
    </row>
    <row r="226" spans="1:14" ht="12.75">
      <c r="A226" s="20"/>
      <c r="B226" s="20"/>
      <c r="C226" s="20"/>
      <c r="D226" s="20"/>
      <c r="E226" s="20"/>
      <c r="F226" s="20"/>
      <c r="G226" s="20"/>
      <c r="H226" s="20"/>
      <c r="I226" s="20"/>
      <c r="L226" s="20"/>
      <c r="M226" s="20"/>
      <c r="N226" s="20"/>
    </row>
    <row r="227" spans="1:14" ht="12.75">
      <c r="A227" s="20"/>
      <c r="B227" s="20"/>
      <c r="C227" s="20"/>
      <c r="D227" s="20"/>
      <c r="E227" s="20"/>
      <c r="F227" s="20"/>
      <c r="G227" s="20"/>
      <c r="H227" s="20"/>
      <c r="I227" s="20"/>
      <c r="L227" s="20"/>
      <c r="M227" s="20"/>
      <c r="N227" s="20"/>
    </row>
    <row r="228" spans="1:14" ht="12.75">
      <c r="A228" s="20"/>
      <c r="B228" s="20"/>
      <c r="C228" s="20"/>
      <c r="D228" s="20"/>
      <c r="E228" s="20"/>
      <c r="F228" s="20"/>
      <c r="G228" s="20"/>
      <c r="H228" s="20"/>
      <c r="I228" s="20"/>
      <c r="L228" s="20"/>
      <c r="M228" s="20"/>
      <c r="N228" s="20"/>
    </row>
    <row r="229" spans="1:14" ht="12.75">
      <c r="A229" s="13"/>
      <c r="B229" s="13"/>
      <c r="C229" s="13"/>
      <c r="D229" s="13"/>
      <c r="E229" s="13"/>
      <c r="F229" s="13"/>
      <c r="G229" s="13"/>
      <c r="H229" s="13"/>
      <c r="I229" s="13"/>
      <c r="L229" s="20"/>
      <c r="M229" s="20"/>
      <c r="N229" s="20"/>
    </row>
    <row r="230" spans="1:14" ht="12.75">
      <c r="A230" s="13"/>
      <c r="B230" s="13"/>
      <c r="C230" s="13"/>
      <c r="D230" s="13"/>
      <c r="E230" s="13"/>
      <c r="F230" s="13"/>
      <c r="G230" s="13"/>
      <c r="H230" s="13"/>
      <c r="I230" s="13"/>
      <c r="L230" s="20"/>
      <c r="M230" s="20"/>
      <c r="N230" s="20"/>
    </row>
    <row r="231" spans="1:14" ht="12.75">
      <c r="A231" s="13"/>
      <c r="B231" s="13"/>
      <c r="C231" s="13"/>
      <c r="D231" s="13"/>
      <c r="E231" s="13"/>
      <c r="F231" s="13"/>
      <c r="G231" s="13"/>
      <c r="H231" s="13"/>
      <c r="I231" s="13"/>
      <c r="L231" s="20"/>
      <c r="M231" s="20"/>
      <c r="N231" s="20"/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L232" s="20"/>
      <c r="M232" s="20"/>
      <c r="N232" s="20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L233" s="20"/>
      <c r="M233" s="20"/>
      <c r="N233" s="20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L234" s="20"/>
      <c r="M234" s="20"/>
      <c r="N234" s="20"/>
    </row>
    <row r="235" spans="1:14" ht="12.75">
      <c r="A235" s="13"/>
      <c r="B235" s="13"/>
      <c r="C235" s="13"/>
      <c r="D235" s="13"/>
      <c r="E235" s="13"/>
      <c r="F235" s="13"/>
      <c r="G235" s="13"/>
      <c r="H235" s="13"/>
      <c r="I235" s="13"/>
      <c r="L235" s="20"/>
      <c r="M235" s="20"/>
      <c r="N235" s="20"/>
    </row>
    <row r="236" spans="1:14" ht="12.75">
      <c r="A236" s="13"/>
      <c r="B236" s="13"/>
      <c r="C236" s="13"/>
      <c r="D236" s="13"/>
      <c r="E236" s="13"/>
      <c r="F236" s="13"/>
      <c r="G236" s="13"/>
      <c r="H236" s="13"/>
      <c r="I236" s="13"/>
      <c r="L236" s="20"/>
      <c r="M236" s="20"/>
      <c r="N236" s="20"/>
    </row>
    <row r="237" spans="1:14" ht="12.75">
      <c r="A237" s="13"/>
      <c r="B237" s="13"/>
      <c r="C237" s="13"/>
      <c r="D237" s="13"/>
      <c r="E237" s="13"/>
      <c r="F237" s="13"/>
      <c r="G237" s="13"/>
      <c r="H237" s="13"/>
      <c r="I237" s="13"/>
      <c r="L237" s="20"/>
      <c r="M237" s="20"/>
      <c r="N237" s="20"/>
    </row>
    <row r="238" spans="1:14" ht="12.75">
      <c r="A238" s="13"/>
      <c r="B238" s="13"/>
      <c r="C238" s="13"/>
      <c r="D238" s="13"/>
      <c r="E238" s="13"/>
      <c r="F238" s="13"/>
      <c r="G238" s="13"/>
      <c r="H238" s="13"/>
      <c r="I238" s="13"/>
      <c r="L238" s="20"/>
      <c r="M238" s="20"/>
      <c r="N238" s="20"/>
    </row>
    <row r="239" spans="7:14" ht="12.75">
      <c r="G239" s="13"/>
      <c r="H239" s="13"/>
      <c r="I239" s="13"/>
      <c r="L239" s="20"/>
      <c r="M239" s="20"/>
      <c r="N239" s="20"/>
    </row>
    <row r="240" spans="7:14" ht="12.75">
      <c r="G240" s="13"/>
      <c r="H240" s="13"/>
      <c r="I240" s="13"/>
      <c r="L240" s="20"/>
      <c r="M240" s="20"/>
      <c r="N240" s="20"/>
    </row>
    <row r="241" spans="7:14" ht="12.75">
      <c r="G241" s="13"/>
      <c r="H241" s="13"/>
      <c r="I241" s="13"/>
      <c r="L241" s="13"/>
      <c r="M241" s="13"/>
      <c r="N241" s="13"/>
    </row>
    <row r="242" spans="7:14" ht="12.75">
      <c r="G242" s="13"/>
      <c r="H242" s="13"/>
      <c r="I242" s="13"/>
      <c r="L242" s="13"/>
      <c r="M242" s="13"/>
      <c r="N242" s="13"/>
    </row>
    <row r="243" spans="7:14" ht="12.75">
      <c r="G243" s="13"/>
      <c r="H243" s="13"/>
      <c r="I243" s="13"/>
      <c r="L243" s="13"/>
      <c r="M243" s="13"/>
      <c r="N243" s="13"/>
    </row>
    <row r="244" spans="7:14" ht="12.75">
      <c r="G244" s="13"/>
      <c r="H244" s="13"/>
      <c r="I244" s="13"/>
      <c r="L244" s="13"/>
      <c r="M244" s="13"/>
      <c r="N244" s="13"/>
    </row>
    <row r="245" spans="7:14" ht="12.75">
      <c r="G245" s="13"/>
      <c r="H245" s="13"/>
      <c r="I245" s="13"/>
      <c r="L245" s="13"/>
      <c r="M245" s="13"/>
      <c r="N245" s="13"/>
    </row>
    <row r="246" spans="7:14" ht="12.75">
      <c r="G246" s="13"/>
      <c r="H246" s="13"/>
      <c r="I246" s="13"/>
      <c r="L246" s="13"/>
      <c r="M246" s="13"/>
      <c r="N246" s="13"/>
    </row>
    <row r="247" spans="7:14" ht="12.75">
      <c r="G247" s="13"/>
      <c r="H247" s="13"/>
      <c r="I247" s="13"/>
      <c r="L247" s="13"/>
      <c r="M247" s="13"/>
      <c r="N247" s="13"/>
    </row>
    <row r="248" spans="7:14" ht="12.75">
      <c r="G248" s="13"/>
      <c r="H248" s="13"/>
      <c r="I248" s="13"/>
      <c r="L248" s="13"/>
      <c r="M248" s="13"/>
      <c r="N248" s="13"/>
    </row>
    <row r="249" spans="7:14" ht="12.75">
      <c r="G249" s="13"/>
      <c r="H249" s="13"/>
      <c r="I249" s="13"/>
      <c r="L249" s="13"/>
      <c r="M249" s="13"/>
      <c r="N249" s="13"/>
    </row>
    <row r="250" spans="7:14" ht="12.75">
      <c r="G250" s="13"/>
      <c r="H250" s="13"/>
      <c r="I250" s="13"/>
      <c r="L250" s="13"/>
      <c r="M250" s="13"/>
      <c r="N250" s="13"/>
    </row>
    <row r="251" spans="7:14" ht="12.75">
      <c r="G251" s="13"/>
      <c r="H251" s="13"/>
      <c r="I251" s="13"/>
      <c r="L251" s="13"/>
      <c r="M251" s="13"/>
      <c r="N251" s="13"/>
    </row>
    <row r="252" spans="7:14" ht="12.75">
      <c r="G252" s="13"/>
      <c r="H252" s="13"/>
      <c r="I252" s="13"/>
      <c r="L252" s="13"/>
      <c r="M252" s="13"/>
      <c r="N252" s="13"/>
    </row>
    <row r="253" spans="7:14" ht="12.75">
      <c r="G253" s="13"/>
      <c r="H253" s="13"/>
      <c r="I253" s="13"/>
      <c r="L253" s="13"/>
      <c r="M253" s="13"/>
      <c r="N253" s="13"/>
    </row>
    <row r="254" spans="7:14" ht="12.75">
      <c r="G254" s="13"/>
      <c r="H254" s="13"/>
      <c r="I254" s="13"/>
      <c r="L254" s="13"/>
      <c r="M254" s="13"/>
      <c r="N254" s="13"/>
    </row>
    <row r="255" spans="7:14" ht="12.75">
      <c r="G255" s="13"/>
      <c r="H255" s="13"/>
      <c r="I255" s="13"/>
      <c r="L255" s="13"/>
      <c r="M255" s="13"/>
      <c r="N255" s="13"/>
    </row>
    <row r="256" spans="7:14" ht="12.75">
      <c r="G256" s="13"/>
      <c r="H256" s="13"/>
      <c r="I256" s="13"/>
      <c r="L256" s="13"/>
      <c r="M256" s="13"/>
      <c r="N256" s="13"/>
    </row>
    <row r="257" spans="7:14" ht="12.75">
      <c r="G257" s="13"/>
      <c r="H257" s="13"/>
      <c r="I257" s="13"/>
      <c r="L257" s="13"/>
      <c r="M257" s="13"/>
      <c r="N257" s="13"/>
    </row>
    <row r="258" spans="7:14" ht="12.75">
      <c r="G258" s="13"/>
      <c r="H258" s="13"/>
      <c r="I258" s="13"/>
      <c r="L258" s="13"/>
      <c r="M258" s="13"/>
      <c r="N258" s="13"/>
    </row>
    <row r="259" spans="7:14" ht="12.75">
      <c r="G259" s="13"/>
      <c r="H259" s="13"/>
      <c r="I259" s="13"/>
      <c r="L259" s="13"/>
      <c r="M259" s="13"/>
      <c r="N259" s="13"/>
    </row>
    <row r="260" spans="7:14" ht="12.75">
      <c r="G260" s="13"/>
      <c r="H260" s="13"/>
      <c r="I260" s="13"/>
      <c r="L260" s="13"/>
      <c r="M260" s="13"/>
      <c r="N260" s="13"/>
    </row>
    <row r="261" spans="7:14" ht="12.75">
      <c r="G261" s="13"/>
      <c r="H261" s="13"/>
      <c r="I261" s="13"/>
      <c r="L261" s="13"/>
      <c r="M261" s="13"/>
      <c r="N261" s="13"/>
    </row>
    <row r="262" spans="7:14" ht="12.75">
      <c r="G262" s="13"/>
      <c r="H262" s="13"/>
      <c r="I262" s="13"/>
      <c r="L262" s="13"/>
      <c r="M262" s="13"/>
      <c r="N262" s="13"/>
    </row>
    <row r="263" spans="7:14" ht="12.75">
      <c r="G263" s="13"/>
      <c r="H263" s="13"/>
      <c r="I263" s="13"/>
      <c r="L263" s="13"/>
      <c r="M263" s="13"/>
      <c r="N263" s="13"/>
    </row>
    <row r="264" spans="7:14" ht="12.75">
      <c r="G264" s="13"/>
      <c r="H264" s="13"/>
      <c r="I264" s="13"/>
      <c r="L264" s="13"/>
      <c r="M264" s="13"/>
      <c r="N264" s="13"/>
    </row>
    <row r="265" spans="7:14" ht="12.75">
      <c r="G265" s="13"/>
      <c r="H265" s="13"/>
      <c r="I265" s="13"/>
      <c r="L265" s="13"/>
      <c r="M265" s="13"/>
      <c r="N265" s="13"/>
    </row>
    <row r="266" spans="7:14" ht="12.75">
      <c r="G266" s="13"/>
      <c r="H266" s="13"/>
      <c r="I266" s="13"/>
      <c r="L266" s="13"/>
      <c r="M266" s="13"/>
      <c r="N266" s="13"/>
    </row>
    <row r="267" spans="7:14" ht="12.75">
      <c r="G267" s="13"/>
      <c r="H267" s="13"/>
      <c r="I267" s="13"/>
      <c r="L267" s="13"/>
      <c r="M267" s="13"/>
      <c r="N267" s="13"/>
    </row>
    <row r="268" spans="7:14" ht="12.75">
      <c r="G268" s="13"/>
      <c r="H268" s="13"/>
      <c r="I268" s="13"/>
      <c r="L268" s="13"/>
      <c r="M268" s="13"/>
      <c r="N268" s="13"/>
    </row>
    <row r="269" spans="7:14" ht="12.75">
      <c r="G269" s="13"/>
      <c r="H269" s="13"/>
      <c r="I269" s="13"/>
      <c r="L269" s="13"/>
      <c r="M269" s="13"/>
      <c r="N269" s="13"/>
    </row>
    <row r="270" spans="7:14" ht="12.75">
      <c r="G270" s="13"/>
      <c r="H270" s="13"/>
      <c r="I270" s="13"/>
      <c r="L270" s="13"/>
      <c r="M270" s="13"/>
      <c r="N270" s="13"/>
    </row>
    <row r="271" spans="7:14" ht="12.75">
      <c r="G271" s="13"/>
      <c r="H271" s="13"/>
      <c r="I271" s="13"/>
      <c r="L271" s="13"/>
      <c r="M271" s="13"/>
      <c r="N271" s="13"/>
    </row>
    <row r="272" spans="7:14" ht="12.75">
      <c r="G272" s="13"/>
      <c r="H272" s="13"/>
      <c r="I272" s="13"/>
      <c r="L272" s="13"/>
      <c r="M272" s="13"/>
      <c r="N272" s="13"/>
    </row>
    <row r="273" spans="7:14" ht="12.75">
      <c r="G273" s="13"/>
      <c r="H273" s="13"/>
      <c r="I273" s="13"/>
      <c r="L273" s="13"/>
      <c r="M273" s="13"/>
      <c r="N273" s="13"/>
    </row>
    <row r="274" spans="7:14" ht="12.75">
      <c r="G274" s="13"/>
      <c r="H274" s="13"/>
      <c r="I274" s="13"/>
      <c r="L274" s="13"/>
      <c r="M274" s="13"/>
      <c r="N274" s="13"/>
    </row>
    <row r="275" spans="7:14" ht="12.75">
      <c r="G275" s="13"/>
      <c r="H275" s="13"/>
      <c r="I275" s="13"/>
      <c r="L275" s="13"/>
      <c r="M275" s="13"/>
      <c r="N275" s="13"/>
    </row>
    <row r="276" spans="7:14" ht="12.75">
      <c r="G276" s="13"/>
      <c r="H276" s="13"/>
      <c r="I276" s="13"/>
      <c r="L276" s="13"/>
      <c r="M276" s="13"/>
      <c r="N276" s="13"/>
    </row>
    <row r="277" spans="7:14" ht="12.75">
      <c r="G277" s="13"/>
      <c r="H277" s="13"/>
      <c r="I277" s="13"/>
      <c r="L277" s="13"/>
      <c r="M277" s="13"/>
      <c r="N277" s="13"/>
    </row>
    <row r="278" spans="7:14" ht="12.75">
      <c r="G278" s="13"/>
      <c r="H278" s="13"/>
      <c r="I278" s="13"/>
      <c r="L278" s="13"/>
      <c r="M278" s="13"/>
      <c r="N278" s="13"/>
    </row>
    <row r="279" spans="7:14" ht="12.75">
      <c r="G279" s="13"/>
      <c r="H279" s="13"/>
      <c r="I279" s="13"/>
      <c r="L279" s="13"/>
      <c r="M279" s="13"/>
      <c r="N279" s="13"/>
    </row>
    <row r="280" spans="7:14" ht="12.75">
      <c r="G280" s="13"/>
      <c r="H280" s="13"/>
      <c r="I280" s="13"/>
      <c r="L280" s="13"/>
      <c r="M280" s="13"/>
      <c r="N280" s="13"/>
    </row>
    <row r="281" spans="7:14" ht="12.75">
      <c r="G281" s="13"/>
      <c r="H281" s="13"/>
      <c r="I281" s="13"/>
      <c r="L281" s="13"/>
      <c r="M281" s="13"/>
      <c r="N281" s="13"/>
    </row>
    <row r="282" spans="7:14" ht="12.75">
      <c r="G282" s="13"/>
      <c r="H282" s="13"/>
      <c r="I282" s="13"/>
      <c r="L282" s="13"/>
      <c r="M282" s="13"/>
      <c r="N282" s="13"/>
    </row>
    <row r="283" spans="7:14" ht="12.75">
      <c r="G283" s="13"/>
      <c r="H283" s="13"/>
      <c r="I283" s="13"/>
      <c r="L283" s="13"/>
      <c r="M283" s="13"/>
      <c r="N283" s="13"/>
    </row>
    <row r="284" spans="7:14" ht="12.75">
      <c r="G284" s="13"/>
      <c r="H284" s="13"/>
      <c r="I284" s="13"/>
      <c r="L284" s="13"/>
      <c r="M284" s="13"/>
      <c r="N284" s="13"/>
    </row>
    <row r="285" spans="7:14" ht="12.75">
      <c r="G285" s="13"/>
      <c r="H285" s="13"/>
      <c r="I285" s="13"/>
      <c r="L285" s="13"/>
      <c r="M285" s="13"/>
      <c r="N285" s="13"/>
    </row>
    <row r="286" spans="7:14" ht="12.75">
      <c r="G286" s="13"/>
      <c r="H286" s="13"/>
      <c r="I286" s="13"/>
      <c r="L286" s="13"/>
      <c r="M286" s="13"/>
      <c r="N286" s="13"/>
    </row>
    <row r="287" spans="7:14" ht="12.75">
      <c r="G287" s="13"/>
      <c r="H287" s="13"/>
      <c r="I287" s="13"/>
      <c r="L287" s="13"/>
      <c r="M287" s="13"/>
      <c r="N287" s="13"/>
    </row>
    <row r="288" spans="7:14" ht="12.75">
      <c r="G288" s="13"/>
      <c r="H288" s="13"/>
      <c r="I288" s="13"/>
      <c r="L288" s="13"/>
      <c r="M288" s="13"/>
      <c r="N288" s="13"/>
    </row>
    <row r="289" spans="7:14" ht="12.75">
      <c r="G289" s="13"/>
      <c r="H289" s="13"/>
      <c r="I289" s="13"/>
      <c r="L289" s="13"/>
      <c r="M289" s="13"/>
      <c r="N289" s="13"/>
    </row>
    <row r="290" spans="12:14" ht="12.75">
      <c r="L290" s="13"/>
      <c r="M290" s="13"/>
      <c r="N290" s="13"/>
    </row>
    <row r="291" spans="12:14" ht="12.75">
      <c r="L291" s="13"/>
      <c r="M291" s="13"/>
      <c r="N291" s="13"/>
    </row>
    <row r="292" spans="12:14" ht="12.75">
      <c r="L292" s="13"/>
      <c r="M292" s="13"/>
      <c r="N292" s="13"/>
    </row>
    <row r="293" spans="12:14" ht="12.75">
      <c r="L293" s="13"/>
      <c r="M293" s="13"/>
      <c r="N293" s="13"/>
    </row>
    <row r="294" spans="12:14" ht="12.75">
      <c r="L294" s="13"/>
      <c r="M294" s="13"/>
      <c r="N294" s="13"/>
    </row>
    <row r="295" spans="12:14" ht="12.75">
      <c r="L295" s="13"/>
      <c r="M295" s="13"/>
      <c r="N295" s="13"/>
    </row>
    <row r="296" spans="12:14" ht="12.75">
      <c r="L296" s="13"/>
      <c r="M296" s="13"/>
      <c r="N296" s="13"/>
    </row>
    <row r="297" spans="12:14" ht="12.75">
      <c r="L297" s="13"/>
      <c r="M297" s="13"/>
      <c r="N297" s="13"/>
    </row>
    <row r="298" spans="12:14" ht="12.75">
      <c r="L298" s="13"/>
      <c r="M298" s="13"/>
      <c r="N298" s="13"/>
    </row>
    <row r="299" spans="12:14" ht="12.75">
      <c r="L299" s="13"/>
      <c r="M299" s="13"/>
      <c r="N299" s="13"/>
    </row>
    <row r="300" spans="12:14" ht="12.75">
      <c r="L300" s="13"/>
      <c r="M300" s="13"/>
      <c r="N300" s="13"/>
    </row>
    <row r="301" spans="12:14" ht="12.75">
      <c r="L301" s="13"/>
      <c r="M301" s="13"/>
      <c r="N301" s="13"/>
    </row>
  </sheetData>
  <sheetProtection password="CD2A" sheet="1"/>
  <mergeCells count="203">
    <mergeCell ref="A120:I120"/>
    <mergeCell ref="A122:F122"/>
    <mergeCell ref="A121:F121"/>
    <mergeCell ref="A115:F115"/>
    <mergeCell ref="L57:N57"/>
    <mergeCell ref="G69:G70"/>
    <mergeCell ref="H69:H70"/>
    <mergeCell ref="I69:I70"/>
    <mergeCell ref="A65:I65"/>
    <mergeCell ref="G76:G77"/>
    <mergeCell ref="A125:F125"/>
    <mergeCell ref="A108:F108"/>
    <mergeCell ref="A109:F109"/>
    <mergeCell ref="A112:F112"/>
    <mergeCell ref="A118:F118"/>
    <mergeCell ref="A1:I2"/>
    <mergeCell ref="G46:G48"/>
    <mergeCell ref="H46:H48"/>
    <mergeCell ref="I46:I48"/>
    <mergeCell ref="I41:I42"/>
    <mergeCell ref="A36:G36"/>
    <mergeCell ref="A31:I31"/>
    <mergeCell ref="A32:G32"/>
    <mergeCell ref="G72:G73"/>
    <mergeCell ref="G63:G64"/>
    <mergeCell ref="G66:G67"/>
    <mergeCell ref="A68:I68"/>
    <mergeCell ref="A71:I71"/>
    <mergeCell ref="L50:N50"/>
    <mergeCell ref="L46:N46"/>
    <mergeCell ref="L47:N47"/>
    <mergeCell ref="L54:N54"/>
    <mergeCell ref="L60:N60"/>
    <mergeCell ref="G60:G61"/>
    <mergeCell ref="I60:I61"/>
    <mergeCell ref="H131:H132"/>
    <mergeCell ref="H128:H129"/>
    <mergeCell ref="G88:G89"/>
    <mergeCell ref="G91:G92"/>
    <mergeCell ref="G95:G96"/>
    <mergeCell ref="G99:G100"/>
    <mergeCell ref="G112:G113"/>
    <mergeCell ref="H112:H113"/>
    <mergeCell ref="H108:H109"/>
    <mergeCell ref="G131:G132"/>
    <mergeCell ref="H125:H126"/>
    <mergeCell ref="H121:H122"/>
    <mergeCell ref="H118:H119"/>
    <mergeCell ref="H115:H116"/>
    <mergeCell ref="A117:I117"/>
    <mergeCell ref="A76:F76"/>
    <mergeCell ref="A77:F77"/>
    <mergeCell ref="A82:F82"/>
    <mergeCell ref="A123:I123"/>
    <mergeCell ref="A113:F113"/>
    <mergeCell ref="I105:I106"/>
    <mergeCell ref="H76:H77"/>
    <mergeCell ref="A83:F83"/>
    <mergeCell ref="A91:F91"/>
    <mergeCell ref="A92:F92"/>
    <mergeCell ref="A95:F95"/>
    <mergeCell ref="A63:F63"/>
    <mergeCell ref="A60:F60"/>
    <mergeCell ref="A67:F67"/>
    <mergeCell ref="I112:I113"/>
    <mergeCell ref="I88:I89"/>
    <mergeCell ref="I91:I92"/>
    <mergeCell ref="I95:I96"/>
    <mergeCell ref="I108:I109"/>
    <mergeCell ref="A98:I98"/>
    <mergeCell ref="A100:F100"/>
    <mergeCell ref="G115:G116"/>
    <mergeCell ref="H66:H67"/>
    <mergeCell ref="H63:H64"/>
    <mergeCell ref="H60:H61"/>
    <mergeCell ref="I63:I64"/>
    <mergeCell ref="I66:I67"/>
    <mergeCell ref="G105:G106"/>
    <mergeCell ref="H102:H103"/>
    <mergeCell ref="A110:I110"/>
    <mergeCell ref="G108:G109"/>
    <mergeCell ref="I72:I73"/>
    <mergeCell ref="I131:I132"/>
    <mergeCell ref="I125:I126"/>
    <mergeCell ref="I102:I103"/>
    <mergeCell ref="I99:I100"/>
    <mergeCell ref="A111:I111"/>
    <mergeCell ref="A107:I107"/>
    <mergeCell ref="I115:I116"/>
    <mergeCell ref="I118:I119"/>
    <mergeCell ref="I121:I122"/>
    <mergeCell ref="A53:I53"/>
    <mergeCell ref="A43:I43"/>
    <mergeCell ref="G50:G51"/>
    <mergeCell ref="I50:I51"/>
    <mergeCell ref="A45:I45"/>
    <mergeCell ref="A52:I52"/>
    <mergeCell ref="A49:I49"/>
    <mergeCell ref="H50:H51"/>
    <mergeCell ref="A48:F48"/>
    <mergeCell ref="A46:F46"/>
    <mergeCell ref="A124:I124"/>
    <mergeCell ref="A128:F128"/>
    <mergeCell ref="H105:H106"/>
    <mergeCell ref="A119:F119"/>
    <mergeCell ref="G118:G119"/>
    <mergeCell ref="G121:G122"/>
    <mergeCell ref="G125:G126"/>
    <mergeCell ref="G128:G129"/>
    <mergeCell ref="I128:I129"/>
    <mergeCell ref="A114:I114"/>
    <mergeCell ref="I35:I36"/>
    <mergeCell ref="A64:F64"/>
    <mergeCell ref="A66:F66"/>
    <mergeCell ref="H41:H42"/>
    <mergeCell ref="A42:G42"/>
    <mergeCell ref="H57:H58"/>
    <mergeCell ref="A54:F54"/>
    <mergeCell ref="A50:F50"/>
    <mergeCell ref="A51:F51"/>
    <mergeCell ref="A55:F55"/>
    <mergeCell ref="A38:G38"/>
    <mergeCell ref="H38:H39"/>
    <mergeCell ref="I38:I39"/>
    <mergeCell ref="A39:G39"/>
    <mergeCell ref="A40:I40"/>
    <mergeCell ref="A41:G41"/>
    <mergeCell ref="A69:F69"/>
    <mergeCell ref="A70:F70"/>
    <mergeCell ref="A99:F99"/>
    <mergeCell ref="A93:I93"/>
    <mergeCell ref="A97:I97"/>
    <mergeCell ref="A73:F73"/>
    <mergeCell ref="H72:H73"/>
    <mergeCell ref="H99:H100"/>
    <mergeCell ref="I85:I86"/>
    <mergeCell ref="A72:F72"/>
    <mergeCell ref="I79:I80"/>
    <mergeCell ref="I82:I83"/>
    <mergeCell ref="A96:F96"/>
    <mergeCell ref="A87:I87"/>
    <mergeCell ref="A90:I90"/>
    <mergeCell ref="G79:G80"/>
    <mergeCell ref="H88:H89"/>
    <mergeCell ref="H85:H86"/>
    <mergeCell ref="A88:F88"/>
    <mergeCell ref="A89:F89"/>
    <mergeCell ref="G85:G86"/>
    <mergeCell ref="A74:I74"/>
    <mergeCell ref="A78:I78"/>
    <mergeCell ref="A81:I81"/>
    <mergeCell ref="A84:I84"/>
    <mergeCell ref="A75:I75"/>
    <mergeCell ref="H79:H80"/>
    <mergeCell ref="G82:G83"/>
    <mergeCell ref="A85:F85"/>
    <mergeCell ref="I76:I77"/>
    <mergeCell ref="J102:J104"/>
    <mergeCell ref="A101:I101"/>
    <mergeCell ref="A104:I104"/>
    <mergeCell ref="A94:I94"/>
    <mergeCell ref="H95:H96"/>
    <mergeCell ref="H91:H92"/>
    <mergeCell ref="G102:G103"/>
    <mergeCell ref="A102:F102"/>
    <mergeCell ref="A34:I34"/>
    <mergeCell ref="A35:G35"/>
    <mergeCell ref="H35:H36"/>
    <mergeCell ref="H54:H55"/>
    <mergeCell ref="A62:I62"/>
    <mergeCell ref="G54:G55"/>
    <mergeCell ref="I54:I55"/>
    <mergeCell ref="I57:I58"/>
    <mergeCell ref="A61:F61"/>
    <mergeCell ref="A37:I37"/>
    <mergeCell ref="A28:I28"/>
    <mergeCell ref="A29:G29"/>
    <mergeCell ref="H29:H30"/>
    <mergeCell ref="I29:I30"/>
    <mergeCell ref="A30:G30"/>
    <mergeCell ref="H32:H33"/>
    <mergeCell ref="A33:G33"/>
    <mergeCell ref="I32:I33"/>
    <mergeCell ref="A133:I133"/>
    <mergeCell ref="A59:I59"/>
    <mergeCell ref="A56:I56"/>
    <mergeCell ref="A132:F132"/>
    <mergeCell ref="A126:F126"/>
    <mergeCell ref="A129:F129"/>
    <mergeCell ref="A116:F116"/>
    <mergeCell ref="A127:I127"/>
    <mergeCell ref="A130:I130"/>
    <mergeCell ref="A86:F86"/>
    <mergeCell ref="A134:I135"/>
    <mergeCell ref="A57:F57"/>
    <mergeCell ref="A58:F58"/>
    <mergeCell ref="G57:G58"/>
    <mergeCell ref="A103:F103"/>
    <mergeCell ref="A105:F105"/>
    <mergeCell ref="A106:F106"/>
    <mergeCell ref="A79:F79"/>
    <mergeCell ref="A80:F80"/>
    <mergeCell ref="H82:H83"/>
  </mergeCells>
  <conditionalFormatting sqref="A134">
    <cfRule type="cellIs" priority="1" dxfId="10" operator="equal" stopIfTrue="1">
      <formula>"opening is adequately reinforced"</formula>
    </cfRule>
    <cfRule type="cellIs" priority="2" dxfId="0" operator="equal" stopIfTrue="1">
      <formula>"opening is not adequately reinforced, increase thickness of reinforcing elements"</formula>
    </cfRule>
  </conditionalFormatting>
  <conditionalFormatting sqref="A43:I43">
    <cfRule type="cellIs" priority="5" dxfId="10" operator="equal" stopIfTrue="1">
      <formula>"Provided nozzle wall thickness is sufficient"</formula>
    </cfRule>
    <cfRule type="cellIs" priority="6" dxfId="0" operator="equal" stopIfTrue="1">
      <formula>"Provided nozzle wall thickness is insufficient"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59"/>
  <sheetViews>
    <sheetView zoomScalePageLayoutView="0" workbookViewId="0" topLeftCell="A1">
      <selection activeCell="K7" sqref="K7"/>
    </sheetView>
  </sheetViews>
  <sheetFormatPr defaultColWidth="9.140625" defaultRowHeight="12.75"/>
  <cols>
    <col min="11" max="11" width="9.00390625" style="0" customWidth="1"/>
    <col min="12" max="27" width="0" style="0" hidden="1" customWidth="1"/>
  </cols>
  <sheetData>
    <row r="1" spans="1:9" ht="24" customHeight="1" thickBot="1">
      <c r="A1" s="306" t="str">
        <f>UPPER("calculation by appendix 1-7")</f>
        <v>CALCULATION BY APPENDIX 1-7</v>
      </c>
      <c r="B1" s="307"/>
      <c r="C1" s="307"/>
      <c r="D1" s="307"/>
      <c r="E1" s="307"/>
      <c r="F1" s="307"/>
      <c r="G1" s="307"/>
      <c r="H1" s="307"/>
      <c r="I1" s="308"/>
    </row>
    <row r="2" spans="1:9" ht="14.25" customHeight="1" thickBot="1">
      <c r="A2" s="162" t="s">
        <v>296</v>
      </c>
      <c r="B2" s="163"/>
      <c r="C2" s="163"/>
      <c r="D2" s="163"/>
      <c r="E2" s="163"/>
      <c r="F2" s="163"/>
      <c r="G2" s="163"/>
      <c r="H2" s="163"/>
      <c r="I2" s="164"/>
    </row>
    <row r="3" spans="1:9" ht="14.25" customHeight="1">
      <c r="A3" s="165" t="s">
        <v>15</v>
      </c>
      <c r="B3" s="165"/>
      <c r="C3" s="165"/>
      <c r="D3" s="165"/>
      <c r="E3" s="165"/>
      <c r="F3" s="165"/>
      <c r="G3" s="165"/>
      <c r="H3" s="157" t="s">
        <v>11</v>
      </c>
      <c r="I3" s="257">
        <f>'UG-37'!I25</f>
        <v>4.4131733122178325</v>
      </c>
    </row>
    <row r="4" spans="1:15" ht="14.25" customHeight="1">
      <c r="A4" s="153" t="s">
        <v>183</v>
      </c>
      <c r="B4" s="153"/>
      <c r="C4" s="153"/>
      <c r="D4" s="153"/>
      <c r="E4" s="153"/>
      <c r="F4" s="153"/>
      <c r="G4" s="153"/>
      <c r="H4" s="158"/>
      <c r="I4" s="258"/>
      <c r="M4" s="1"/>
      <c r="N4" s="1"/>
      <c r="O4" s="1"/>
    </row>
    <row r="5" spans="1:9" ht="14.25" customHeight="1">
      <c r="A5" s="166"/>
      <c r="B5" s="166"/>
      <c r="C5" s="166"/>
      <c r="D5" s="166"/>
      <c r="E5" s="166"/>
      <c r="F5" s="166"/>
      <c r="G5" s="166"/>
      <c r="H5" s="166"/>
      <c r="I5" s="269"/>
    </row>
    <row r="6" spans="1:9" ht="14.25" customHeight="1">
      <c r="A6" s="153" t="s">
        <v>16</v>
      </c>
      <c r="B6" s="153"/>
      <c r="C6" s="153"/>
      <c r="D6" s="153"/>
      <c r="E6" s="153"/>
      <c r="F6" s="153"/>
      <c r="G6" s="153"/>
      <c r="H6" s="158" t="s">
        <v>11</v>
      </c>
      <c r="I6" s="258">
        <f>'UG-37'!I28</f>
        <v>10.2096</v>
      </c>
    </row>
    <row r="7" spans="1:9" ht="14.25" customHeight="1">
      <c r="A7" s="153" t="s">
        <v>156</v>
      </c>
      <c r="B7" s="153"/>
      <c r="C7" s="153"/>
      <c r="D7" s="153"/>
      <c r="E7" s="153"/>
      <c r="F7" s="153"/>
      <c r="G7" s="153"/>
      <c r="H7" s="158"/>
      <c r="I7" s="258"/>
    </row>
    <row r="8" spans="1:9" ht="14.25" customHeight="1">
      <c r="A8" s="166"/>
      <c r="B8" s="166"/>
      <c r="C8" s="166"/>
      <c r="D8" s="166"/>
      <c r="E8" s="166"/>
      <c r="F8" s="166"/>
      <c r="G8" s="166"/>
      <c r="H8" s="166"/>
      <c r="I8" s="269"/>
    </row>
    <row r="9" spans="1:9" ht="14.25" customHeight="1">
      <c r="A9" s="153" t="s">
        <v>17</v>
      </c>
      <c r="B9" s="153"/>
      <c r="C9" s="153"/>
      <c r="D9" s="153"/>
      <c r="E9" s="153"/>
      <c r="F9" s="153"/>
      <c r="G9" s="153"/>
      <c r="H9" s="158" t="s">
        <v>11</v>
      </c>
      <c r="I9" s="258">
        <f>'UG-37'!I31</f>
        <v>4.54</v>
      </c>
    </row>
    <row r="10" spans="1:9" ht="14.25" customHeight="1">
      <c r="A10" s="153" t="s">
        <v>157</v>
      </c>
      <c r="B10" s="153"/>
      <c r="C10" s="153"/>
      <c r="D10" s="153"/>
      <c r="E10" s="153"/>
      <c r="F10" s="153"/>
      <c r="G10" s="153"/>
      <c r="H10" s="158"/>
      <c r="I10" s="258"/>
    </row>
    <row r="11" spans="1:9" ht="14.25" customHeight="1">
      <c r="A11" s="166"/>
      <c r="B11" s="166"/>
      <c r="C11" s="166"/>
      <c r="D11" s="166"/>
      <c r="E11" s="166"/>
      <c r="F11" s="166"/>
      <c r="G11" s="166"/>
      <c r="H11" s="166"/>
      <c r="I11" s="269"/>
    </row>
    <row r="12" spans="1:9" ht="14.25" customHeight="1">
      <c r="A12" s="153" t="s">
        <v>18</v>
      </c>
      <c r="B12" s="153"/>
      <c r="C12" s="153"/>
      <c r="D12" s="153"/>
      <c r="E12" s="153"/>
      <c r="F12" s="153"/>
      <c r="G12" s="153"/>
      <c r="H12" s="158" t="s">
        <v>11</v>
      </c>
      <c r="I12" s="258">
        <f>'UG-37'!I34</f>
        <v>11.54</v>
      </c>
    </row>
    <row r="13" spans="1:9" ht="14.25" customHeight="1">
      <c r="A13" s="153" t="s">
        <v>158</v>
      </c>
      <c r="B13" s="153"/>
      <c r="C13" s="153"/>
      <c r="D13" s="153"/>
      <c r="E13" s="153"/>
      <c r="F13" s="153"/>
      <c r="G13" s="153"/>
      <c r="H13" s="158"/>
      <c r="I13" s="258"/>
    </row>
    <row r="14" spans="1:9" ht="14.25" customHeight="1">
      <c r="A14" s="166"/>
      <c r="B14" s="166"/>
      <c r="C14" s="166"/>
      <c r="D14" s="166"/>
      <c r="E14" s="166"/>
      <c r="F14" s="166"/>
      <c r="G14" s="166"/>
      <c r="H14" s="166"/>
      <c r="I14" s="269"/>
    </row>
    <row r="15" spans="1:9" ht="14.25" customHeight="1">
      <c r="A15" s="153" t="s">
        <v>153</v>
      </c>
      <c r="B15" s="153"/>
      <c r="C15" s="153"/>
      <c r="D15" s="153"/>
      <c r="E15" s="153"/>
      <c r="F15" s="153"/>
      <c r="G15" s="153"/>
      <c r="H15" s="158" t="s">
        <v>11</v>
      </c>
      <c r="I15" s="258">
        <f>'UG-37'!I37</f>
        <v>10.2096</v>
      </c>
    </row>
    <row r="16" spans="1:9" ht="14.25" customHeight="1">
      <c r="A16" s="153" t="s">
        <v>295</v>
      </c>
      <c r="B16" s="153"/>
      <c r="C16" s="153"/>
      <c r="D16" s="153"/>
      <c r="E16" s="153"/>
      <c r="F16" s="153"/>
      <c r="G16" s="153"/>
      <c r="H16" s="158"/>
      <c r="I16" s="258"/>
    </row>
    <row r="17" spans="1:9" ht="14.25" customHeight="1" thickBot="1">
      <c r="A17" s="260"/>
      <c r="B17" s="260"/>
      <c r="C17" s="260"/>
      <c r="D17" s="260"/>
      <c r="E17" s="260"/>
      <c r="F17" s="260"/>
      <c r="G17" s="260"/>
      <c r="H17" s="260"/>
      <c r="I17" s="261"/>
    </row>
    <row r="18" spans="1:9" ht="14.25" customHeight="1" thickBot="1">
      <c r="A18" s="301" t="str">
        <f>IF('A-1-7'!I15&lt;INPUTS!I18,UPPER("Provided nozzle wall thickness is sufficient"),UPPER("Provided nozzle wall thickness is insufficient"))</f>
        <v>PROVIDED NOZZLE WALL THICKNESS IS SUFFICIENT</v>
      </c>
      <c r="B18" s="302"/>
      <c r="C18" s="302"/>
      <c r="D18" s="302"/>
      <c r="E18" s="302"/>
      <c r="F18" s="302"/>
      <c r="G18" s="302"/>
      <c r="H18" s="302"/>
      <c r="I18" s="303"/>
    </row>
    <row r="19" spans="1:9" ht="14.25" customHeight="1" thickBot="1">
      <c r="A19" s="25"/>
      <c r="B19" s="26"/>
      <c r="C19" s="26"/>
      <c r="D19" s="26"/>
      <c r="E19" s="26"/>
      <c r="F19" s="26"/>
      <c r="G19" s="2"/>
      <c r="H19" s="2"/>
      <c r="I19" s="3"/>
    </row>
    <row r="20" spans="1:9" ht="12.75">
      <c r="A20" s="253" t="s">
        <v>246</v>
      </c>
      <c r="B20" s="253"/>
      <c r="C20" s="253"/>
      <c r="D20" s="253"/>
      <c r="E20" s="253"/>
      <c r="F20" s="253"/>
      <c r="G20" s="253"/>
      <c r="H20" s="253"/>
      <c r="I20" s="254"/>
    </row>
    <row r="21" spans="1:9" ht="13.5" thickBot="1">
      <c r="A21" s="315" t="s">
        <v>297</v>
      </c>
      <c r="B21" s="316"/>
      <c r="C21" s="316"/>
      <c r="D21" s="316"/>
      <c r="E21" s="316"/>
      <c r="F21" s="316"/>
      <c r="G21" s="316"/>
      <c r="H21" s="316"/>
      <c r="I21" s="317"/>
    </row>
    <row r="22" spans="1:9" ht="14.25">
      <c r="A22" s="309" t="str">
        <f>UPPER("Condition on limit of reinforcement")</f>
        <v>CONDITION ON LIMIT OF REINFORCEMENT</v>
      </c>
      <c r="B22" s="310"/>
      <c r="C22" s="310"/>
      <c r="D22" s="310"/>
      <c r="E22" s="310"/>
      <c r="F22" s="310"/>
      <c r="G22" s="310"/>
      <c r="H22" s="310"/>
      <c r="I22" s="311"/>
    </row>
    <row r="23" spans="1:9" ht="15" thickBot="1">
      <c r="A23" s="312" t="s">
        <v>244</v>
      </c>
      <c r="B23" s="313"/>
      <c r="C23" s="313"/>
      <c r="D23" s="313"/>
      <c r="E23" s="313"/>
      <c r="F23" s="313"/>
      <c r="G23" s="313"/>
      <c r="H23" s="313"/>
      <c r="I23" s="314"/>
    </row>
    <row r="24" spans="1:9" ht="15.75" customHeight="1">
      <c r="A24" s="291" t="s">
        <v>160</v>
      </c>
      <c r="B24" s="292"/>
      <c r="C24" s="292"/>
      <c r="D24" s="292"/>
      <c r="E24" s="292"/>
      <c r="F24" s="293"/>
      <c r="G24" s="219" t="s">
        <v>37</v>
      </c>
      <c r="H24" s="219" t="s">
        <v>97</v>
      </c>
      <c r="I24" s="221">
        <f>'UG-37'!I62</f>
        <v>4096.41024</v>
      </c>
    </row>
    <row r="25" spans="1:9" ht="12.75">
      <c r="A25" s="250" t="s">
        <v>104</v>
      </c>
      <c r="B25" s="251"/>
      <c r="C25" s="251"/>
      <c r="D25" s="251"/>
      <c r="E25" s="251"/>
      <c r="F25" s="252"/>
      <c r="G25" s="193"/>
      <c r="H25" s="193"/>
      <c r="I25" s="175"/>
    </row>
    <row r="26" spans="1:9" ht="12.75">
      <c r="A26" s="288"/>
      <c r="B26" s="289"/>
      <c r="C26" s="289"/>
      <c r="D26" s="289"/>
      <c r="E26" s="289"/>
      <c r="F26" s="289"/>
      <c r="G26" s="289"/>
      <c r="H26" s="289"/>
      <c r="I26" s="290"/>
    </row>
    <row r="27" spans="1:9" ht="15.75" customHeight="1">
      <c r="A27" s="318" t="s">
        <v>251</v>
      </c>
      <c r="B27" s="319"/>
      <c r="C27" s="319"/>
      <c r="D27" s="319"/>
      <c r="E27" s="319"/>
      <c r="F27" s="320"/>
      <c r="G27" s="178" t="s">
        <v>103</v>
      </c>
      <c r="H27" s="178" t="s">
        <v>97</v>
      </c>
      <c r="I27" s="174">
        <f>2/3*I24</f>
        <v>2730.94016</v>
      </c>
    </row>
    <row r="28" spans="1:12" ht="15.75">
      <c r="A28" s="250" t="s">
        <v>161</v>
      </c>
      <c r="B28" s="251"/>
      <c r="C28" s="251"/>
      <c r="D28" s="251"/>
      <c r="E28" s="251"/>
      <c r="F28" s="252"/>
      <c r="G28" s="193"/>
      <c r="H28" s="193"/>
      <c r="I28" s="175"/>
      <c r="L28" s="13"/>
    </row>
    <row r="29" spans="1:12" ht="13.5" thickBot="1">
      <c r="A29" s="145"/>
      <c r="B29" s="145"/>
      <c r="C29" s="145"/>
      <c r="D29" s="145"/>
      <c r="E29" s="145"/>
      <c r="F29" s="145"/>
      <c r="G29" s="145"/>
      <c r="H29" s="145"/>
      <c r="I29" s="146"/>
      <c r="L29" s="13"/>
    </row>
    <row r="30" spans="1:16" ht="13.5" thickBot="1">
      <c r="A30" s="95" t="s">
        <v>231</v>
      </c>
      <c r="B30" s="96"/>
      <c r="C30" s="96"/>
      <c r="D30" s="96"/>
      <c r="E30" s="96"/>
      <c r="F30" s="96"/>
      <c r="G30" s="96"/>
      <c r="H30" s="96"/>
      <c r="I30" s="97"/>
      <c r="K30" s="259"/>
      <c r="L30" s="259"/>
      <c r="M30" s="259"/>
      <c r="N30" s="259"/>
      <c r="O30" s="259"/>
      <c r="P30" s="259"/>
    </row>
    <row r="31" spans="1:16" ht="15.75" customHeight="1">
      <c r="A31" s="291" t="s">
        <v>99</v>
      </c>
      <c r="B31" s="292"/>
      <c r="C31" s="292"/>
      <c r="D31" s="292"/>
      <c r="E31" s="292"/>
      <c r="F31" s="293"/>
      <c r="G31" s="219" t="s">
        <v>101</v>
      </c>
      <c r="H31" s="219" t="s">
        <v>11</v>
      </c>
      <c r="I31" s="221">
        <f>2*MAX(0.75*INPUTS!I44,'A-1-10'!I46+INPUTS!I43+INPUTS!I42)</f>
        <v>876.5999999999999</v>
      </c>
      <c r="K31" s="13"/>
      <c r="L31" s="13"/>
      <c r="M31" s="13"/>
      <c r="N31" s="13"/>
      <c r="O31" s="13"/>
      <c r="P31" s="13"/>
    </row>
    <row r="32" spans="1:9" ht="15.75">
      <c r="A32" s="250" t="s">
        <v>164</v>
      </c>
      <c r="B32" s="251"/>
      <c r="C32" s="251"/>
      <c r="D32" s="251"/>
      <c r="E32" s="251"/>
      <c r="F32" s="252"/>
      <c r="G32" s="193"/>
      <c r="H32" s="193"/>
      <c r="I32" s="175"/>
    </row>
    <row r="33" spans="1:9" ht="12.75">
      <c r="A33" s="288"/>
      <c r="B33" s="289"/>
      <c r="C33" s="289"/>
      <c r="D33" s="289"/>
      <c r="E33" s="289"/>
      <c r="F33" s="289"/>
      <c r="G33" s="289"/>
      <c r="H33" s="289"/>
      <c r="I33" s="290"/>
    </row>
    <row r="34" spans="1:9" ht="15.75" customHeight="1">
      <c r="A34" s="103" t="s">
        <v>100</v>
      </c>
      <c r="B34" s="104"/>
      <c r="C34" s="104"/>
      <c r="D34" s="104"/>
      <c r="E34" s="104"/>
      <c r="F34" s="105"/>
      <c r="G34" s="178" t="s">
        <v>102</v>
      </c>
      <c r="H34" s="178" t="s">
        <v>11</v>
      </c>
      <c r="I34" s="174">
        <f>MIN(2.5*INPUTS!I42,2.5*INPUTS!I43+INPUTS!I26)</f>
        <v>27</v>
      </c>
    </row>
    <row r="35" spans="1:9" ht="15.75">
      <c r="A35" s="250" t="s">
        <v>162</v>
      </c>
      <c r="B35" s="251"/>
      <c r="C35" s="251"/>
      <c r="D35" s="251"/>
      <c r="E35" s="251"/>
      <c r="F35" s="252"/>
      <c r="G35" s="193"/>
      <c r="H35" s="193"/>
      <c r="I35" s="175"/>
    </row>
    <row r="36" spans="1:9" ht="13.5" thickBot="1">
      <c r="A36" s="145"/>
      <c r="B36" s="145"/>
      <c r="C36" s="145"/>
      <c r="D36" s="145"/>
      <c r="E36" s="145"/>
      <c r="F36" s="145"/>
      <c r="G36" s="145"/>
      <c r="H36" s="145"/>
      <c r="I36" s="146"/>
    </row>
    <row r="37" spans="1:9" ht="12.75">
      <c r="A37" s="266" t="s">
        <v>279</v>
      </c>
      <c r="B37" s="267"/>
      <c r="C37" s="267"/>
      <c r="D37" s="267"/>
      <c r="E37" s="267"/>
      <c r="F37" s="267"/>
      <c r="G37" s="267"/>
      <c r="H37" s="267"/>
      <c r="I37" s="268"/>
    </row>
    <row r="38" spans="1:9" ht="15.75" customHeight="1">
      <c r="A38" s="87" t="s">
        <v>115</v>
      </c>
      <c r="B38" s="87"/>
      <c r="C38" s="87"/>
      <c r="D38" s="87"/>
      <c r="E38" s="87"/>
      <c r="F38" s="87"/>
      <c r="G38" s="169" t="s">
        <v>22</v>
      </c>
      <c r="H38" s="169" t="s">
        <v>97</v>
      </c>
      <c r="I38" s="173">
        <f>('A-1-7'!I31-2*'A-1-10'!I46)*(INPUTS!I37*INPUTS!I42-'UG-37'!I58*INPUTS!I48)-2*INPUTS!I43*(INPUTS!I37*INPUTS!I42-'UG-37'!I58*INPUTS!I48)*(1-'UG-37'!I49)</f>
        <v>1107.55488</v>
      </c>
    </row>
    <row r="39" spans="1:17" ht="15.75">
      <c r="A39" s="153" t="s">
        <v>165</v>
      </c>
      <c r="B39" s="153"/>
      <c r="C39" s="153"/>
      <c r="D39" s="153"/>
      <c r="E39" s="153"/>
      <c r="F39" s="153"/>
      <c r="G39" s="169"/>
      <c r="H39" s="169"/>
      <c r="I39" s="173"/>
      <c r="L39" s="1"/>
      <c r="M39" s="1"/>
      <c r="N39" s="1"/>
      <c r="O39" s="1"/>
      <c r="P39" s="1"/>
      <c r="Q39" s="1"/>
    </row>
    <row r="40" spans="1:9" ht="12.75">
      <c r="A40" s="243"/>
      <c r="B40" s="243"/>
      <c r="C40" s="243"/>
      <c r="D40" s="243"/>
      <c r="E40" s="243"/>
      <c r="F40" s="243"/>
      <c r="G40" s="243"/>
      <c r="H40" s="243"/>
      <c r="I40" s="244"/>
    </row>
    <row r="41" spans="1:9" ht="15.75" customHeight="1">
      <c r="A41" s="87" t="s">
        <v>80</v>
      </c>
      <c r="B41" s="87"/>
      <c r="C41" s="87"/>
      <c r="D41" s="87"/>
      <c r="E41" s="87"/>
      <c r="F41" s="87"/>
      <c r="G41" s="169" t="s">
        <v>23</v>
      </c>
      <c r="H41" s="169" t="s">
        <v>97</v>
      </c>
      <c r="I41" s="173">
        <f>'UG-37'!I68</f>
        <v>625.688641140237</v>
      </c>
    </row>
    <row r="42" spans="1:9" ht="12.75">
      <c r="A42" s="153" t="s">
        <v>116</v>
      </c>
      <c r="B42" s="153"/>
      <c r="C42" s="153"/>
      <c r="D42" s="153"/>
      <c r="E42" s="153"/>
      <c r="F42" s="153"/>
      <c r="G42" s="169"/>
      <c r="H42" s="169"/>
      <c r="I42" s="173"/>
    </row>
    <row r="43" spans="1:9" ht="12.75">
      <c r="A43" s="243"/>
      <c r="B43" s="243"/>
      <c r="C43" s="243"/>
      <c r="D43" s="243"/>
      <c r="E43" s="243"/>
      <c r="F43" s="243"/>
      <c r="G43" s="243"/>
      <c r="H43" s="243"/>
      <c r="I43" s="244"/>
    </row>
    <row r="44" spans="1:9" ht="15.75" customHeight="1">
      <c r="A44" s="262" t="s">
        <v>252</v>
      </c>
      <c r="B44" s="262"/>
      <c r="C44" s="262"/>
      <c r="D44" s="262"/>
      <c r="E44" s="262"/>
      <c r="F44" s="262"/>
      <c r="G44" s="169" t="s">
        <v>212</v>
      </c>
      <c r="H44" s="169" t="s">
        <v>97</v>
      </c>
      <c r="I44" s="173">
        <f>IF(INPUTS!I25+2*INPUTS!I35&gt;2*'A-1-7'!I31,INPUTS!I35*INPUTS!I35+INPUTS!I36*INPUTS!I36,INPUTS!I36*INPUTS!I36)</f>
        <v>256</v>
      </c>
    </row>
    <row r="45" spans="1:9" ht="12.75">
      <c r="A45" s="153" t="s">
        <v>116</v>
      </c>
      <c r="B45" s="153"/>
      <c r="C45" s="153"/>
      <c r="D45" s="153"/>
      <c r="E45" s="153"/>
      <c r="F45" s="153"/>
      <c r="G45" s="169"/>
      <c r="H45" s="169"/>
      <c r="I45" s="173"/>
    </row>
    <row r="46" spans="1:9" ht="12.75">
      <c r="A46" s="243"/>
      <c r="B46" s="243"/>
      <c r="C46" s="243"/>
      <c r="D46" s="243"/>
      <c r="E46" s="243"/>
      <c r="F46" s="243"/>
      <c r="G46" s="243"/>
      <c r="H46" s="243"/>
      <c r="I46" s="244"/>
    </row>
    <row r="47" spans="1:9" ht="15.75" customHeight="1">
      <c r="A47" s="262" t="s">
        <v>188</v>
      </c>
      <c r="B47" s="262"/>
      <c r="C47" s="262"/>
      <c r="D47" s="262"/>
      <c r="E47" s="262"/>
      <c r="F47" s="262"/>
      <c r="G47" s="169" t="s">
        <v>24</v>
      </c>
      <c r="H47" s="169" t="s">
        <v>97</v>
      </c>
      <c r="I47" s="173">
        <f>IF(INPUTS!G27="YES",0.75*MIN(('A-1-7'!I31-INPUTS!I44-INPUTS!I43-INPUTS!I43)*INPUTS!I26*'UG-37'!I55,(INPUTS!I25-INPUTS!I44-INPUTS!I43-INPUTS!I43)*INPUTS!I26*'UG-37'!I55),MIN(('A-1-7'!I31-INPUTS!I44-INPUTS!I43-INPUTS!I43)*INPUTS!I26*'UG-37'!I55,(INPUTS!I25-INPUTS!I44-INPUTS!I43-INPUTS!I43)*INPUTS!I26*'UG-37'!I55))</f>
        <v>0</v>
      </c>
    </row>
    <row r="48" spans="1:9" ht="15.75">
      <c r="A48" s="153" t="s">
        <v>166</v>
      </c>
      <c r="B48" s="153"/>
      <c r="C48" s="153"/>
      <c r="D48" s="153"/>
      <c r="E48" s="153"/>
      <c r="F48" s="153"/>
      <c r="G48" s="169"/>
      <c r="H48" s="169"/>
      <c r="I48" s="173"/>
    </row>
    <row r="49" spans="1:9" ht="12.75">
      <c r="A49" s="243"/>
      <c r="B49" s="243"/>
      <c r="C49" s="243"/>
      <c r="D49" s="243"/>
      <c r="E49" s="243"/>
      <c r="F49" s="243"/>
      <c r="G49" s="243"/>
      <c r="H49" s="243"/>
      <c r="I49" s="244"/>
    </row>
    <row r="50" spans="1:9" ht="15.75" customHeight="1">
      <c r="A50" s="87" t="s">
        <v>207</v>
      </c>
      <c r="B50" s="87"/>
      <c r="C50" s="87"/>
      <c r="D50" s="87"/>
      <c r="E50" s="87"/>
      <c r="F50" s="87"/>
      <c r="G50" s="169" t="s">
        <v>200</v>
      </c>
      <c r="H50" s="169" t="s">
        <v>97</v>
      </c>
      <c r="I50" s="173">
        <f>'UG-37'!I77</f>
        <v>0</v>
      </c>
    </row>
    <row r="51" spans="1:9" ht="12.75">
      <c r="A51" s="153" t="s">
        <v>116</v>
      </c>
      <c r="B51" s="153"/>
      <c r="C51" s="153"/>
      <c r="D51" s="153"/>
      <c r="E51" s="153"/>
      <c r="F51" s="153"/>
      <c r="G51" s="169"/>
      <c r="H51" s="169"/>
      <c r="I51" s="173"/>
    </row>
    <row r="52" spans="1:9" ht="12.75">
      <c r="A52" s="243"/>
      <c r="B52" s="243"/>
      <c r="C52" s="243"/>
      <c r="D52" s="243"/>
      <c r="E52" s="243"/>
      <c r="F52" s="243"/>
      <c r="G52" s="243"/>
      <c r="H52" s="243"/>
      <c r="I52" s="244"/>
    </row>
    <row r="53" spans="1:13" ht="15.75" customHeight="1">
      <c r="A53" s="87" t="s">
        <v>208</v>
      </c>
      <c r="B53" s="87"/>
      <c r="C53" s="87"/>
      <c r="D53" s="87"/>
      <c r="E53" s="87"/>
      <c r="F53" s="87"/>
      <c r="G53" s="169" t="s">
        <v>201</v>
      </c>
      <c r="H53" s="169" t="s">
        <v>97</v>
      </c>
      <c r="I53" s="173">
        <f>'UG-37'!I80</f>
        <v>0</v>
      </c>
      <c r="M53" s="13"/>
    </row>
    <row r="54" spans="1:13" ht="12.75">
      <c r="A54" s="153" t="s">
        <v>116</v>
      </c>
      <c r="B54" s="153"/>
      <c r="C54" s="153"/>
      <c r="D54" s="153"/>
      <c r="E54" s="153"/>
      <c r="F54" s="153"/>
      <c r="G54" s="169"/>
      <c r="H54" s="169"/>
      <c r="I54" s="173"/>
      <c r="M54" s="13"/>
    </row>
    <row r="55" spans="1:13" ht="12.75">
      <c r="A55" s="243"/>
      <c r="B55" s="243"/>
      <c r="C55" s="243"/>
      <c r="D55" s="243"/>
      <c r="E55" s="243"/>
      <c r="F55" s="243"/>
      <c r="G55" s="243"/>
      <c r="H55" s="243"/>
      <c r="I55" s="244"/>
      <c r="M55" s="13"/>
    </row>
    <row r="56" spans="1:9" ht="15.75" customHeight="1">
      <c r="A56" s="262" t="s">
        <v>117</v>
      </c>
      <c r="B56" s="262"/>
      <c r="C56" s="262"/>
      <c r="D56" s="262"/>
      <c r="E56" s="262"/>
      <c r="F56" s="262"/>
      <c r="G56" s="169" t="s">
        <v>118</v>
      </c>
      <c r="H56" s="169" t="s">
        <v>97</v>
      </c>
      <c r="I56" s="173">
        <f>I38+I41+I44+I47+I50+I53</f>
        <v>1989.243521140237</v>
      </c>
    </row>
    <row r="57" spans="1:9" ht="15.75">
      <c r="A57" s="153" t="s">
        <v>209</v>
      </c>
      <c r="B57" s="153"/>
      <c r="C57" s="153"/>
      <c r="D57" s="153"/>
      <c r="E57" s="153"/>
      <c r="F57" s="153"/>
      <c r="G57" s="169"/>
      <c r="H57" s="169"/>
      <c r="I57" s="173"/>
    </row>
    <row r="58" spans="1:9" ht="13.5" thickBot="1">
      <c r="A58" s="255"/>
      <c r="B58" s="255"/>
      <c r="C58" s="255"/>
      <c r="D58" s="255"/>
      <c r="E58" s="255"/>
      <c r="F58" s="255"/>
      <c r="G58" s="255"/>
      <c r="H58" s="255"/>
      <c r="I58" s="256"/>
    </row>
    <row r="59" spans="1:12" ht="15.75" thickBot="1">
      <c r="A59" s="263" t="str">
        <f>IF('A-1-7'!I56&gt;'A-1-7'!I27,UPPER("limit of reinforcement is satisfied"),UPPER("limit of reinforcement is not satisfied"))</f>
        <v>LIMIT OF REINFORCEMENT IS NOT SATISFIED</v>
      </c>
      <c r="B59" s="264"/>
      <c r="C59" s="264"/>
      <c r="D59" s="264"/>
      <c r="E59" s="264"/>
      <c r="F59" s="264"/>
      <c r="G59" s="264"/>
      <c r="H59" s="264"/>
      <c r="I59" s="265"/>
      <c r="J59" s="23"/>
      <c r="K59" s="23"/>
      <c r="L59" s="18"/>
    </row>
    <row r="60" spans="1:12" ht="15">
      <c r="A60" s="286"/>
      <c r="B60" s="286"/>
      <c r="C60" s="286"/>
      <c r="D60" s="286"/>
      <c r="E60" s="286"/>
      <c r="F60" s="286"/>
      <c r="G60" s="286"/>
      <c r="H60" s="286"/>
      <c r="I60" s="287"/>
      <c r="J60" s="23"/>
      <c r="K60" s="23"/>
      <c r="L60" s="18"/>
    </row>
    <row r="61" spans="1:13" ht="12.75">
      <c r="A61" s="281" t="s">
        <v>245</v>
      </c>
      <c r="B61" s="281"/>
      <c r="C61" s="281"/>
      <c r="D61" s="281"/>
      <c r="E61" s="281"/>
      <c r="F61" s="281"/>
      <c r="G61" s="281"/>
      <c r="H61" s="281"/>
      <c r="I61" s="282"/>
      <c r="J61" s="6"/>
      <c r="K61" s="6"/>
      <c r="L61" s="6"/>
      <c r="M61" s="6"/>
    </row>
    <row r="62" spans="1:9" ht="15" thickBot="1">
      <c r="A62" s="304" t="s">
        <v>453</v>
      </c>
      <c r="B62" s="304"/>
      <c r="C62" s="304"/>
      <c r="D62" s="304"/>
      <c r="E62" s="304"/>
      <c r="F62" s="304"/>
      <c r="G62" s="304"/>
      <c r="H62" s="304"/>
      <c r="I62" s="305"/>
    </row>
    <row r="63" spans="1:9" ht="13.5" thickBot="1">
      <c r="A63" s="283" t="str">
        <f>IF(AND(INPUTS!I44&gt;1000,INPUTS!I8&gt;1500,INPUTS!I44&gt;3.4*SQRT('A-1-10'!I50*INPUTS!I42)),UPPER("for given inputs it needs to be checked"),UPPER("for given inputs it need not be checked"))</f>
        <v>FOR GIVEN INPUTS IT NEED NOT BE CHECKED</v>
      </c>
      <c r="B63" s="284"/>
      <c r="C63" s="284"/>
      <c r="D63" s="284"/>
      <c r="E63" s="284"/>
      <c r="F63" s="284"/>
      <c r="G63" s="284"/>
      <c r="H63" s="284"/>
      <c r="I63" s="285"/>
    </row>
    <row r="64" spans="1:9" ht="14.25">
      <c r="A64" s="275" t="str">
        <f>UPPER("condition on  stresses")</f>
        <v>CONDITION ON  STRESSES</v>
      </c>
      <c r="B64" s="276"/>
      <c r="C64" s="276"/>
      <c r="D64" s="276"/>
      <c r="E64" s="276"/>
      <c r="F64" s="276"/>
      <c r="G64" s="276"/>
      <c r="H64" s="276"/>
      <c r="I64" s="277"/>
    </row>
    <row r="65" spans="1:9" ht="15" thickBot="1">
      <c r="A65" s="278" t="s">
        <v>247</v>
      </c>
      <c r="B65" s="279"/>
      <c r="C65" s="279"/>
      <c r="D65" s="279"/>
      <c r="E65" s="279"/>
      <c r="F65" s="279"/>
      <c r="G65" s="279"/>
      <c r="H65" s="279"/>
      <c r="I65" s="280"/>
    </row>
    <row r="66" ht="12.75">
      <c r="I66" s="11"/>
    </row>
    <row r="67" ht="12.75">
      <c r="I67" s="14"/>
    </row>
    <row r="68" ht="12.75">
      <c r="I68" s="14"/>
    </row>
    <row r="69" ht="12.75">
      <c r="I69" s="14"/>
    </row>
    <row r="70" ht="12.75">
      <c r="I70" s="14"/>
    </row>
    <row r="71" ht="12.75">
      <c r="I71" s="14"/>
    </row>
    <row r="72" ht="12.75">
      <c r="I72" s="14"/>
    </row>
    <row r="73" ht="12.75">
      <c r="I73" s="14"/>
    </row>
    <row r="74" ht="12.75">
      <c r="I74" s="14"/>
    </row>
    <row r="75" ht="12.75">
      <c r="I75" s="14"/>
    </row>
    <row r="76" ht="12.75">
      <c r="I76" s="14"/>
    </row>
    <row r="77" ht="12.75">
      <c r="I77" s="14"/>
    </row>
    <row r="78" ht="12.75">
      <c r="I78" s="14"/>
    </row>
    <row r="79" ht="12.75">
      <c r="I79" s="14"/>
    </row>
    <row r="80" ht="12.75">
      <c r="I80" s="14"/>
    </row>
    <row r="81" ht="12.75">
      <c r="I81" s="14"/>
    </row>
    <row r="82" ht="12.75">
      <c r="I82" s="14"/>
    </row>
    <row r="83" ht="12.75">
      <c r="I83" s="14"/>
    </row>
    <row r="84" ht="12.75">
      <c r="I84" s="14"/>
    </row>
    <row r="85" ht="12.75">
      <c r="I85" s="14"/>
    </row>
    <row r="86" ht="12.75">
      <c r="I86" s="14"/>
    </row>
    <row r="87" ht="12.75">
      <c r="I87" s="14"/>
    </row>
    <row r="88" ht="12.75">
      <c r="I88" s="14"/>
    </row>
    <row r="89" ht="12.75">
      <c r="I89" s="14"/>
    </row>
    <row r="90" ht="12.75">
      <c r="I90" s="14"/>
    </row>
    <row r="91" ht="12.75">
      <c r="I91" s="14"/>
    </row>
    <row r="92" ht="12.75">
      <c r="I92" s="14"/>
    </row>
    <row r="93" ht="12.75">
      <c r="I93" s="14"/>
    </row>
    <row r="94" ht="12.75">
      <c r="I94" s="14"/>
    </row>
    <row r="95" ht="12.75">
      <c r="I95" s="14"/>
    </row>
    <row r="96" ht="12.75">
      <c r="I96" s="14"/>
    </row>
    <row r="97" ht="12.75">
      <c r="I97" s="14"/>
    </row>
    <row r="98" ht="12.75">
      <c r="I98" s="14"/>
    </row>
    <row r="99" ht="12.75">
      <c r="I99" s="14"/>
    </row>
    <row r="100" ht="12.75">
      <c r="I100" s="14"/>
    </row>
    <row r="101" ht="12.75">
      <c r="I101" s="14"/>
    </row>
    <row r="102" ht="12.75">
      <c r="I102" s="14"/>
    </row>
    <row r="103" ht="13.5" thickBot="1">
      <c r="I103" s="15"/>
    </row>
    <row r="104" spans="1:9" ht="13.5" thickBot="1">
      <c r="A104" s="162" t="s">
        <v>289</v>
      </c>
      <c r="B104" s="231"/>
      <c r="C104" s="231"/>
      <c r="D104" s="231"/>
      <c r="E104" s="231"/>
      <c r="F104" s="231"/>
      <c r="G104" s="231"/>
      <c r="H104" s="231"/>
      <c r="I104" s="232"/>
    </row>
    <row r="105" spans="1:9" ht="13.5" thickBot="1">
      <c r="A105" s="98" t="s">
        <v>123</v>
      </c>
      <c r="B105" s="98"/>
      <c r="C105" s="98"/>
      <c r="D105" s="98"/>
      <c r="E105" s="98"/>
      <c r="F105" s="98"/>
      <c r="G105" s="193" t="s">
        <v>124</v>
      </c>
      <c r="H105" s="193" t="s">
        <v>11</v>
      </c>
      <c r="I105" s="175">
        <f>'A-1-10'!I50+INPUTS!I42/2</f>
        <v>1758.6000000000001</v>
      </c>
    </row>
    <row r="106" spans="1:15" ht="16.5" thickBot="1">
      <c r="A106" s="250" t="s">
        <v>172</v>
      </c>
      <c r="B106" s="251"/>
      <c r="C106" s="251"/>
      <c r="D106" s="251"/>
      <c r="E106" s="251"/>
      <c r="F106" s="252"/>
      <c r="G106" s="169"/>
      <c r="H106" s="169"/>
      <c r="I106" s="173"/>
      <c r="L106" s="179" t="s">
        <v>138</v>
      </c>
      <c r="M106" s="180"/>
      <c r="N106" s="180"/>
      <c r="O106" s="181"/>
    </row>
    <row r="107" spans="1:9" ht="12.75">
      <c r="A107" s="243"/>
      <c r="B107" s="243"/>
      <c r="C107" s="243"/>
      <c r="D107" s="243"/>
      <c r="E107" s="243"/>
      <c r="F107" s="243"/>
      <c r="G107" s="243"/>
      <c r="H107" s="243"/>
      <c r="I107" s="244"/>
    </row>
    <row r="108" spans="1:9" ht="12.75">
      <c r="A108" s="87" t="s">
        <v>122</v>
      </c>
      <c r="B108" s="87"/>
      <c r="C108" s="87"/>
      <c r="D108" s="87"/>
      <c r="E108" s="87"/>
      <c r="F108" s="87"/>
      <c r="G108" s="169" t="s">
        <v>125</v>
      </c>
      <c r="H108" s="169" t="s">
        <v>11</v>
      </c>
      <c r="I108" s="173">
        <f>'A-1-10'!I46+INPUTS!I43/2</f>
        <v>298.59999999999997</v>
      </c>
    </row>
    <row r="109" spans="1:9" ht="15.75">
      <c r="A109" s="250" t="s">
        <v>171</v>
      </c>
      <c r="B109" s="251"/>
      <c r="C109" s="251"/>
      <c r="D109" s="251"/>
      <c r="E109" s="251"/>
      <c r="F109" s="252"/>
      <c r="G109" s="169"/>
      <c r="H109" s="169"/>
      <c r="I109" s="173"/>
    </row>
    <row r="110" spans="1:10" ht="12.75">
      <c r="A110" s="243"/>
      <c r="B110" s="243"/>
      <c r="C110" s="243"/>
      <c r="D110" s="243"/>
      <c r="E110" s="243"/>
      <c r="F110" s="243"/>
      <c r="G110" s="243"/>
      <c r="H110" s="243"/>
      <c r="I110" s="244"/>
      <c r="J110" s="222"/>
    </row>
    <row r="111" spans="1:10" ht="12.75" customHeight="1">
      <c r="A111" s="297" t="s">
        <v>119</v>
      </c>
      <c r="B111" s="298"/>
      <c r="C111" s="298"/>
      <c r="D111" s="298"/>
      <c r="E111" s="298"/>
      <c r="F111" s="299"/>
      <c r="G111" s="178" t="s">
        <v>120</v>
      </c>
      <c r="H111" s="178" t="s">
        <v>97</v>
      </c>
      <c r="I111" s="174">
        <f>0.5*(INPUTS!I32-INPUTS!I18)*MIN(INPUTS!I31,(INPUTS!I42+INPUTS!I26+SQRT(INPUTS!I43*I108)-INPUTS!I30))+(INPUTS!I32-INPUTS!I18)*(INPUTS!I42+MIN(INPUTS!I30,INPUTS!I42+INPUTS!I26+SQRT(INPUTS!I43*I108)))+INPUTS!I43*(INPUTS!I42+INPUTS!I26+SQRT(INPUTS!I43*I108))+(INPUTS!I42*SQRT(I105*INPUTS!I42))+(INPUTS!I26*MIN(16*INPUTS!I42,INPUTS!I45))</f>
        <v>6265.172363358137</v>
      </c>
      <c r="J111" s="222"/>
    </row>
    <row r="112" spans="1:9" ht="12.75">
      <c r="A112" s="300"/>
      <c r="B112" s="247"/>
      <c r="C112" s="247"/>
      <c r="D112" s="247"/>
      <c r="E112" s="247"/>
      <c r="F112" s="248"/>
      <c r="G112" s="193"/>
      <c r="H112" s="193"/>
      <c r="I112" s="175"/>
    </row>
    <row r="113" spans="1:9" ht="13.5" thickBot="1">
      <c r="A113" s="272"/>
      <c r="B113" s="272"/>
      <c r="C113" s="272"/>
      <c r="D113" s="272"/>
      <c r="E113" s="272"/>
      <c r="F113" s="272"/>
      <c r="G113" s="272"/>
      <c r="H113" s="272"/>
      <c r="I113" s="273"/>
    </row>
    <row r="114" spans="1:9" ht="13.5" thickBot="1">
      <c r="A114" s="95" t="s">
        <v>290</v>
      </c>
      <c r="B114" s="96"/>
      <c r="C114" s="96"/>
      <c r="D114" s="96"/>
      <c r="E114" s="96"/>
      <c r="F114" s="96"/>
      <c r="G114" s="96"/>
      <c r="H114" s="96"/>
      <c r="I114" s="97"/>
    </row>
    <row r="115" spans="1:9" ht="14.25" customHeight="1">
      <c r="A115" s="98" t="s">
        <v>129</v>
      </c>
      <c r="B115" s="98"/>
      <c r="C115" s="98"/>
      <c r="D115" s="98"/>
      <c r="E115" s="98"/>
      <c r="F115" s="98"/>
      <c r="G115" s="193" t="s">
        <v>22</v>
      </c>
      <c r="H115" s="193" t="s">
        <v>97</v>
      </c>
      <c r="I115" s="175">
        <f>INPUTS!I42*MAX(16*INPUTS!I42,SQRT('A-1-7'!I105*INPUTS!I42))</f>
        <v>1866.2400000000002</v>
      </c>
    </row>
    <row r="116" spans="1:42" ht="15.75">
      <c r="A116" s="250" t="s">
        <v>133</v>
      </c>
      <c r="B116" s="251"/>
      <c r="C116" s="251"/>
      <c r="D116" s="251"/>
      <c r="E116" s="251"/>
      <c r="F116" s="252"/>
      <c r="G116" s="169"/>
      <c r="H116" s="169"/>
      <c r="I116" s="173"/>
      <c r="AH116" s="274" t="s">
        <v>218</v>
      </c>
      <c r="AI116" s="274"/>
      <c r="AJ116" s="274"/>
      <c r="AK116" s="274"/>
      <c r="AL116" s="274"/>
      <c r="AM116" s="274"/>
      <c r="AN116" s="274"/>
      <c r="AO116" s="274"/>
      <c r="AP116" s="274"/>
    </row>
    <row r="117" spans="1:9" ht="12.75">
      <c r="A117" s="243"/>
      <c r="B117" s="243"/>
      <c r="C117" s="243"/>
      <c r="D117" s="243"/>
      <c r="E117" s="243"/>
      <c r="F117" s="243"/>
      <c r="G117" s="243"/>
      <c r="H117" s="243"/>
      <c r="I117" s="244"/>
    </row>
    <row r="118" spans="1:9" ht="12.75">
      <c r="A118" s="87" t="s">
        <v>130</v>
      </c>
      <c r="B118" s="87"/>
      <c r="C118" s="87"/>
      <c r="D118" s="87"/>
      <c r="E118" s="87"/>
      <c r="F118" s="87"/>
      <c r="G118" s="169" t="s">
        <v>23</v>
      </c>
      <c r="H118" s="169" t="s">
        <v>97</v>
      </c>
      <c r="I118" s="173">
        <f>INPUTS!I26*MIN(MAX(16*INPUTS!I42,SQRT('A-1-7'!I105*INPUTS!I42)),INPUTS!I45)</f>
        <v>0</v>
      </c>
    </row>
    <row r="119" spans="1:9" ht="15.75">
      <c r="A119" s="250" t="s">
        <v>141</v>
      </c>
      <c r="B119" s="251"/>
      <c r="C119" s="251"/>
      <c r="D119" s="251"/>
      <c r="E119" s="251"/>
      <c r="F119" s="252"/>
      <c r="G119" s="169"/>
      <c r="H119" s="169"/>
      <c r="I119" s="173"/>
    </row>
    <row r="120" spans="1:9" ht="12.75">
      <c r="A120" s="243"/>
      <c r="B120" s="243"/>
      <c r="C120" s="243"/>
      <c r="D120" s="243"/>
      <c r="E120" s="243"/>
      <c r="F120" s="243"/>
      <c r="G120" s="243"/>
      <c r="H120" s="243"/>
      <c r="I120" s="244"/>
    </row>
    <row r="121" spans="1:9" ht="12.75" customHeight="1">
      <c r="A121" s="87" t="s">
        <v>131</v>
      </c>
      <c r="B121" s="87"/>
      <c r="C121" s="87"/>
      <c r="D121" s="87"/>
      <c r="E121" s="87"/>
      <c r="F121" s="87"/>
      <c r="G121" s="169" t="s">
        <v>132</v>
      </c>
      <c r="H121" s="169" t="s">
        <v>97</v>
      </c>
      <c r="I121" s="173">
        <f>INPUTS!I43*MIN(INPUTS!I19+INPUTS!I42,MAX(INPUTS!I42+INPUTS!I26+16*INPUTS!I43,INPUTS!I42+INPUTS!I26+SQRT('A-1-7'!I108*INPUTS!I43)))</f>
        <v>2759.6800000000003</v>
      </c>
    </row>
    <row r="122" spans="1:9" ht="15.75">
      <c r="A122" s="250" t="s">
        <v>216</v>
      </c>
      <c r="B122" s="251"/>
      <c r="C122" s="251"/>
      <c r="D122" s="251"/>
      <c r="E122" s="251"/>
      <c r="F122" s="252"/>
      <c r="G122" s="169"/>
      <c r="H122" s="169"/>
      <c r="I122" s="173"/>
    </row>
    <row r="123" spans="1:9" ht="12.75">
      <c r="A123" s="243"/>
      <c r="B123" s="243"/>
      <c r="C123" s="243"/>
      <c r="D123" s="243"/>
      <c r="E123" s="243"/>
      <c r="F123" s="243"/>
      <c r="G123" s="243"/>
      <c r="H123" s="243"/>
      <c r="I123" s="244"/>
    </row>
    <row r="124" spans="1:15" ht="12.75">
      <c r="A124" s="87" t="s">
        <v>211</v>
      </c>
      <c r="B124" s="87"/>
      <c r="C124" s="87"/>
      <c r="D124" s="87"/>
      <c r="E124" s="87"/>
      <c r="F124" s="87"/>
      <c r="G124" s="169" t="s">
        <v>212</v>
      </c>
      <c r="H124" s="169" t="s">
        <v>97</v>
      </c>
      <c r="I124" s="173">
        <f>IF(INPUTS!G16="self reinforcing nozzle",(INPUTS!I32-INPUTS!I18)*(MIN(INPUTS!I30,MAX(16*INPUTS!I43,INPUTS!I42+INPUTS!I26+SQRT(INPUTS!I43*'A-1-7'!I108)))+INPUTS!I42),0)</f>
        <v>0</v>
      </c>
      <c r="O124" s="13"/>
    </row>
    <row r="125" spans="1:15" ht="15.75">
      <c r="A125" s="250" t="s">
        <v>217</v>
      </c>
      <c r="B125" s="251"/>
      <c r="C125" s="251"/>
      <c r="D125" s="251"/>
      <c r="E125" s="251"/>
      <c r="F125" s="252"/>
      <c r="G125" s="169"/>
      <c r="H125" s="169"/>
      <c r="I125" s="173"/>
      <c r="O125" s="13"/>
    </row>
    <row r="126" spans="1:15" ht="12.75">
      <c r="A126" s="243"/>
      <c r="B126" s="243"/>
      <c r="C126" s="243"/>
      <c r="D126" s="243"/>
      <c r="E126" s="243"/>
      <c r="F126" s="243"/>
      <c r="G126" s="243"/>
      <c r="H126" s="243"/>
      <c r="I126" s="244"/>
      <c r="O126" s="13"/>
    </row>
    <row r="127" spans="1:9" ht="12.75">
      <c r="A127" s="87" t="s">
        <v>213</v>
      </c>
      <c r="B127" s="87"/>
      <c r="C127" s="87"/>
      <c r="D127" s="87"/>
      <c r="E127" s="87"/>
      <c r="F127" s="87"/>
      <c r="G127" s="169" t="s">
        <v>24</v>
      </c>
      <c r="H127" s="169" t="s">
        <v>97</v>
      </c>
      <c r="I127" s="173">
        <f>IF(INPUTS!G16="self reinforcing nozzle",0.5*(INPUTS!I32-INPUTS!I18)*MIN(INPUTS!I31,MAX(16*INPUTS!I43,(INPUTS!I42+INPUTS!I26+SQRT(INPUTS!I43*'A-1-7'!I108)))-INPUTS!I30),0)</f>
        <v>0</v>
      </c>
    </row>
    <row r="128" spans="1:10" ht="15.75">
      <c r="A128" s="250" t="s">
        <v>215</v>
      </c>
      <c r="B128" s="251"/>
      <c r="C128" s="251"/>
      <c r="D128" s="251"/>
      <c r="E128" s="251"/>
      <c r="F128" s="252"/>
      <c r="G128" s="169"/>
      <c r="H128" s="169"/>
      <c r="I128" s="196"/>
      <c r="J128" s="12"/>
    </row>
    <row r="129" spans="1:10" ht="13.5" thickBot="1">
      <c r="A129" s="250"/>
      <c r="B129" s="251"/>
      <c r="C129" s="251"/>
      <c r="D129" s="251"/>
      <c r="E129" s="251"/>
      <c r="F129" s="252"/>
      <c r="G129" s="250"/>
      <c r="H129" s="251"/>
      <c r="I129" s="251"/>
      <c r="J129" s="12"/>
    </row>
    <row r="130" spans="1:24" ht="16.5" thickBot="1">
      <c r="A130" s="95" t="s">
        <v>291</v>
      </c>
      <c r="B130" s="96"/>
      <c r="C130" s="96"/>
      <c r="D130" s="96"/>
      <c r="E130" s="96"/>
      <c r="F130" s="96"/>
      <c r="G130" s="96"/>
      <c r="H130" s="96"/>
      <c r="I130" s="96"/>
      <c r="J130" s="12"/>
      <c r="L130" s="1"/>
      <c r="M130" s="1"/>
      <c r="N130" s="1"/>
      <c r="O130" s="249" t="s">
        <v>214</v>
      </c>
      <c r="P130" s="249"/>
      <c r="Q130" s="249"/>
      <c r="R130" s="249"/>
      <c r="S130" s="249"/>
      <c r="T130" s="249"/>
      <c r="U130" s="1"/>
      <c r="V130" s="1"/>
      <c r="W130" s="1"/>
      <c r="X130" s="1"/>
    </row>
    <row r="131" spans="1:24" ht="12.75">
      <c r="A131" s="245" t="s">
        <v>134</v>
      </c>
      <c r="B131" s="245"/>
      <c r="C131" s="245"/>
      <c r="D131" s="245"/>
      <c r="E131" s="245"/>
      <c r="F131" s="246"/>
      <c r="G131" s="193" t="s">
        <v>126</v>
      </c>
      <c r="H131" s="193" t="s">
        <v>11</v>
      </c>
      <c r="I131" s="175">
        <f>(I124*(MIN(INPUTS!I30,MAX(16*INPUTS!I43,INPUTS!I42+INPUTS!I26+SQRT(INPUTS!I43*'A-1-7'!I108)))/2)+I127*(INPUTS!I42/2+MIN(INPUTS!I30,MAX(16*INPUTS!I43,INPUTS!I42+INPUTS!I26+SQRT(INPUTS!I43*'A-1-7'!I108)))+MIN(INPUTS!I31,MAX(16*INPUTS!I43,(INPUTS!I42+INPUTS!I26+SQRT(INPUTS!I43*'A-1-7'!I108)))-INPUTS!I30)/3)+I118*((INPUTS!I42+INPUTS!I26)/2)+(I121*(INPUTS!I26/2+8*INPUTS!I43)))/(I115+I118+I121+I124+I127)</f>
        <v>61.08865522966243</v>
      </c>
      <c r="L131" s="1"/>
      <c r="M131" s="1"/>
      <c r="N131" s="1"/>
      <c r="O131" s="1"/>
      <c r="P131" s="1" t="s">
        <v>136</v>
      </c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247"/>
      <c r="B132" s="247"/>
      <c r="C132" s="247"/>
      <c r="D132" s="247"/>
      <c r="E132" s="247"/>
      <c r="F132" s="248"/>
      <c r="G132" s="169"/>
      <c r="H132" s="169"/>
      <c r="I132" s="173"/>
      <c r="Q132" s="1"/>
      <c r="R132" s="1"/>
      <c r="S132" s="1"/>
      <c r="T132" s="1"/>
      <c r="U132" s="1"/>
      <c r="V132" s="1"/>
      <c r="W132" s="1"/>
      <c r="X132" s="1"/>
    </row>
    <row r="133" spans="1:16" ht="15.75">
      <c r="A133" s="243"/>
      <c r="B133" s="243"/>
      <c r="C133" s="243"/>
      <c r="D133" s="243"/>
      <c r="E133" s="243"/>
      <c r="F133" s="243"/>
      <c r="G133" s="243"/>
      <c r="H133" s="243"/>
      <c r="I133" s="244"/>
      <c r="L133" s="1" t="s">
        <v>219</v>
      </c>
      <c r="M133" s="1"/>
      <c r="N133" s="1"/>
      <c r="O133" s="1"/>
      <c r="P133" s="1"/>
    </row>
    <row r="134" spans="1:9" ht="12.75">
      <c r="A134" s="87" t="s">
        <v>135</v>
      </c>
      <c r="B134" s="87"/>
      <c r="C134" s="87"/>
      <c r="D134" s="87"/>
      <c r="E134" s="87"/>
      <c r="F134" s="87"/>
      <c r="G134" s="169" t="s">
        <v>108</v>
      </c>
      <c r="H134" s="169" t="s">
        <v>11</v>
      </c>
      <c r="I134" s="173">
        <f>I131+INPUTS!I42/2</f>
        <v>66.48865522966243</v>
      </c>
    </row>
    <row r="135" spans="1:9" ht="12.75">
      <c r="A135" s="250" t="s">
        <v>113</v>
      </c>
      <c r="B135" s="251"/>
      <c r="C135" s="251"/>
      <c r="D135" s="251"/>
      <c r="E135" s="251"/>
      <c r="F135" s="252"/>
      <c r="G135" s="169"/>
      <c r="H135" s="169"/>
      <c r="I135" s="173"/>
    </row>
    <row r="136" spans="1:9" ht="12.75">
      <c r="A136" s="243"/>
      <c r="B136" s="243"/>
      <c r="C136" s="243"/>
      <c r="D136" s="243"/>
      <c r="E136" s="243"/>
      <c r="F136" s="243"/>
      <c r="G136" s="243"/>
      <c r="H136" s="243"/>
      <c r="I136" s="244"/>
    </row>
    <row r="137" spans="1:9" ht="12.75">
      <c r="A137" s="297" t="s">
        <v>137</v>
      </c>
      <c r="B137" s="298"/>
      <c r="C137" s="298"/>
      <c r="D137" s="298"/>
      <c r="E137" s="298"/>
      <c r="F137" s="299"/>
      <c r="G137" s="169" t="s">
        <v>127</v>
      </c>
      <c r="H137" s="169" t="s">
        <v>139</v>
      </c>
      <c r="I137" s="173">
        <f>(I121*(MAX(INPUTS!I42+INPUTS!I26+16*INPUTS!I43,INPUTS!I42+INPUTS!I26+SQRT('A-1-7'!I108*INPUTS!I43)))*(MAX(INPUTS!I42+INPUTS!I26+16*INPUTS!I43,INPUTS!I42+INPUTS!I26+SQRT('A-1-7'!I108*INPUTS!I43))))/12+(I115*INPUTS!I42*INPUTS!I42)/12+(I118*INPUTS!I26*INPUTS!I26)/12+(I115*I131*I131)+(I118*(I131-INPUTS!I42-(INPUTS!I26/2))*(I131-INPUTS!I42-(INPUTS!I26/2)))+I121*(MAX(INPUTS!I42+INPUTS!I26+16*INPUTS!I43,INPUTS!I42+INPUTS!I26+SQRT('A-1-7'!I108*INPUTS!I43))/2-I134)*(MAX(INPUTS!I42+INPUTS!I26+16*INPUTS!I43,INPUTS!I42+INPUTS!I26+SQRT('A-1-7'!I108*INPUTS!I43))/2-I134)+I124*(MIN(INPUTS!I30,MAX(16*INPUTS!I43,INPUTS!I42+INPUTS!I26+SQRT(INPUTS!I43*'A-1-7'!I108)))+INPUTS!I42)*(MIN(INPUTS!I30,MAX(16*INPUTS!I43,INPUTS!I42+INPUTS!I26+SQRT(INPUTS!I43*'A-1-7'!I108)))+INPUTS!I42)/12+I127*MIN(INPUTS!I31,MAX(16*INPUTS!I43,(INPUTS!I42+INPUTS!I26+SQRT(INPUTS!I43*'A-1-7'!I108)))-INPUTS!I30)*MIN(INPUTS!I31,MAX(16*INPUTS!I43,(INPUTS!I42+INPUTS!I26+SQRT(INPUTS!I43*'A-1-7'!I108)))-INPUTS!I30)/36+I124*(I134-((MIN(INPUTS!I30,MAX(16*INPUTS!I43,INPUTS!I42+INPUTS!I26+SQRT(INPUTS!I43*'A-1-7'!I108)))+INPUTS!I42)/2))*(I134-((MIN(INPUTS!I30,MAX(16*INPUTS!I43,INPUTS!I42+INPUTS!I26+SQRT(INPUTS!I43*'A-1-7'!I108)))+INPUTS!I42)/2))+I127*(I134-((MIN(INPUTS!I30,MAX(16*INPUTS!I43,INPUTS!I42+INPUTS!I26+SQRT(INPUTS!I43*'A-1-7'!I108)))+INPUTS!I42)+MIN(INPUTS!I31,MAX(16*INPUTS!I43,(INPUTS!I42+INPUTS!I26+SQRT(INPUTS!I43*'A-1-7'!I108)))-INPUTS!I30)/2))*(I134-((MIN(INPUTS!I30,MAX(16*INPUTS!I43,INPUTS!I42+INPUTS!I26+SQRT(INPUTS!I43*'A-1-7'!I108)))+INPUTS!I42)+MIN(INPUTS!I31,MAX(16*INPUTS!I43,(INPUTS!I42+INPUTS!I26+SQRT(INPUTS!I43*'A-1-7'!I108)))-INPUTS!I30)/2))</f>
        <v>22382296.91075979</v>
      </c>
    </row>
    <row r="138" spans="1:9" ht="12.75">
      <c r="A138" s="300"/>
      <c r="B138" s="247"/>
      <c r="C138" s="247"/>
      <c r="D138" s="247"/>
      <c r="E138" s="247"/>
      <c r="F138" s="248"/>
      <c r="G138" s="169"/>
      <c r="H138" s="169"/>
      <c r="I138" s="173"/>
    </row>
    <row r="139" spans="1:9" ht="13.5" thickBot="1">
      <c r="A139" s="272"/>
      <c r="B139" s="272"/>
      <c r="C139" s="272"/>
      <c r="D139" s="272"/>
      <c r="E139" s="272"/>
      <c r="F139" s="272"/>
      <c r="G139" s="272"/>
      <c r="H139" s="272"/>
      <c r="I139" s="273"/>
    </row>
    <row r="140" spans="1:9" ht="13.5" thickBot="1">
      <c r="A140" s="162" t="s">
        <v>292</v>
      </c>
      <c r="B140" s="231"/>
      <c r="C140" s="231"/>
      <c r="D140" s="231"/>
      <c r="E140" s="231"/>
      <c r="F140" s="231"/>
      <c r="G140" s="231"/>
      <c r="H140" s="231"/>
      <c r="I140" s="232"/>
    </row>
    <row r="141" spans="1:9" ht="12.75">
      <c r="A141" s="98" t="s">
        <v>142</v>
      </c>
      <c r="B141" s="98"/>
      <c r="C141" s="98"/>
      <c r="D141" s="98"/>
      <c r="E141" s="98"/>
      <c r="F141" s="98"/>
      <c r="G141" s="193" t="s">
        <v>109</v>
      </c>
      <c r="H141" s="193" t="s">
        <v>140</v>
      </c>
      <c r="I141" s="175">
        <f>INPUTS!I7*((INPUTS!I8/2+INPUTS!I12)*('A-1-10'!I46+INPUTS!I43+SQRT(INPUTS!I42*'A-1-7'!I105))+'A-1-10'!I46*(INPUTS!I42+INPUTS!I26+SQRT(INPUTS!I43*'A-1-7'!I108)))/'A-1-7'!I111</f>
        <v>713.1405456817554</v>
      </c>
    </row>
    <row r="142" spans="1:9" ht="15.75">
      <c r="A142" s="250" t="s">
        <v>111</v>
      </c>
      <c r="B142" s="251"/>
      <c r="C142" s="251"/>
      <c r="D142" s="251"/>
      <c r="E142" s="251"/>
      <c r="F142" s="252"/>
      <c r="G142" s="169"/>
      <c r="H142" s="169"/>
      <c r="I142" s="173"/>
    </row>
    <row r="143" spans="1:9" ht="12.75">
      <c r="A143" s="243"/>
      <c r="B143" s="243"/>
      <c r="C143" s="243"/>
      <c r="D143" s="243"/>
      <c r="E143" s="243"/>
      <c r="F143" s="243"/>
      <c r="G143" s="243"/>
      <c r="H143" s="243"/>
      <c r="I143" s="244"/>
    </row>
    <row r="144" spans="1:9" ht="12.75">
      <c r="A144" s="87" t="s">
        <v>105</v>
      </c>
      <c r="B144" s="87"/>
      <c r="C144" s="87"/>
      <c r="D144" s="87"/>
      <c r="E144" s="87"/>
      <c r="F144" s="87"/>
      <c r="G144" s="169" t="s">
        <v>107</v>
      </c>
      <c r="H144" s="169" t="s">
        <v>143</v>
      </c>
      <c r="I144" s="173">
        <f>INPUTS!I7*(('A-1-10'!I46*'A-1-10'!I46*'A-1-10'!I46)/6+('A-1-10'!I46*'A-1-10'!I50*'A-1-7'!I131))*0.001</f>
        <v>198606.8718390852</v>
      </c>
    </row>
    <row r="145" spans="1:9" ht="15.75">
      <c r="A145" s="250" t="s">
        <v>112</v>
      </c>
      <c r="B145" s="251"/>
      <c r="C145" s="251"/>
      <c r="D145" s="251"/>
      <c r="E145" s="251"/>
      <c r="F145" s="252"/>
      <c r="G145" s="169"/>
      <c r="H145" s="169"/>
      <c r="I145" s="173"/>
    </row>
    <row r="146" spans="1:9" ht="12.75">
      <c r="A146" s="243"/>
      <c r="B146" s="243"/>
      <c r="C146" s="243"/>
      <c r="D146" s="243"/>
      <c r="E146" s="243"/>
      <c r="F146" s="243"/>
      <c r="G146" s="243"/>
      <c r="H146" s="243"/>
      <c r="I146" s="244"/>
    </row>
    <row r="147" spans="1:9" ht="12.75">
      <c r="A147" s="87" t="s">
        <v>106</v>
      </c>
      <c r="B147" s="87"/>
      <c r="C147" s="87"/>
      <c r="D147" s="87"/>
      <c r="E147" s="87"/>
      <c r="F147" s="87"/>
      <c r="G147" s="169" t="s">
        <v>110</v>
      </c>
      <c r="H147" s="169" t="s">
        <v>12</v>
      </c>
      <c r="I147" s="173">
        <f>((I144*'A-1-7'!I134)/'A-1-7'!I137)/0.001</f>
        <v>589.9798345362234</v>
      </c>
    </row>
    <row r="148" spans="1:9" ht="12.75">
      <c r="A148" s="250" t="s">
        <v>114</v>
      </c>
      <c r="B148" s="251"/>
      <c r="C148" s="251"/>
      <c r="D148" s="251"/>
      <c r="E148" s="251"/>
      <c r="F148" s="252"/>
      <c r="G148" s="169"/>
      <c r="H148" s="169"/>
      <c r="I148" s="173"/>
    </row>
    <row r="149" spans="1:9" ht="12.75">
      <c r="A149" s="243"/>
      <c r="B149" s="243"/>
      <c r="C149" s="243"/>
      <c r="D149" s="243"/>
      <c r="E149" s="243"/>
      <c r="F149" s="243"/>
      <c r="G149" s="243"/>
      <c r="H149" s="243"/>
      <c r="I149" s="244"/>
    </row>
    <row r="150" spans="1:9" ht="12.75">
      <c r="A150" s="87" t="s">
        <v>148</v>
      </c>
      <c r="B150" s="87"/>
      <c r="C150" s="87"/>
      <c r="D150" s="87"/>
      <c r="E150" s="87"/>
      <c r="F150" s="87"/>
      <c r="G150" s="169" t="s">
        <v>149</v>
      </c>
      <c r="H150" s="169" t="s">
        <v>12</v>
      </c>
      <c r="I150" s="173">
        <f>I141+I147</f>
        <v>1303.120380217979</v>
      </c>
    </row>
    <row r="151" spans="1:9" ht="15.75">
      <c r="A151" s="250" t="s">
        <v>150</v>
      </c>
      <c r="B151" s="251"/>
      <c r="C151" s="251"/>
      <c r="D151" s="251"/>
      <c r="E151" s="251"/>
      <c r="F151" s="252"/>
      <c r="G151" s="169"/>
      <c r="H151" s="169"/>
      <c r="I151" s="173"/>
    </row>
    <row r="152" spans="1:9" ht="12.75">
      <c r="A152" s="243"/>
      <c r="B152" s="243"/>
      <c r="C152" s="243"/>
      <c r="D152" s="243"/>
      <c r="E152" s="243"/>
      <c r="F152" s="243"/>
      <c r="G152" s="243"/>
      <c r="H152" s="243"/>
      <c r="I152" s="244"/>
    </row>
    <row r="153" spans="1:9" ht="12.75">
      <c r="A153" s="262" t="s">
        <v>248</v>
      </c>
      <c r="B153" s="262"/>
      <c r="C153" s="262"/>
      <c r="D153" s="262"/>
      <c r="E153" s="262"/>
      <c r="F153" s="262"/>
      <c r="G153" s="169" t="s">
        <v>145</v>
      </c>
      <c r="H153" s="169" t="s">
        <v>12</v>
      </c>
      <c r="I153" s="173">
        <f>INPUTS!I20</f>
        <v>1406.14</v>
      </c>
    </row>
    <row r="154" spans="1:9" ht="15.75">
      <c r="A154" s="250" t="s">
        <v>6</v>
      </c>
      <c r="B154" s="251"/>
      <c r="C154" s="251"/>
      <c r="D154" s="251"/>
      <c r="E154" s="251"/>
      <c r="F154" s="252"/>
      <c r="G154" s="169"/>
      <c r="H154" s="169"/>
      <c r="I154" s="173"/>
    </row>
    <row r="155" spans="1:9" ht="12.75">
      <c r="A155" s="243"/>
      <c r="B155" s="243"/>
      <c r="C155" s="243"/>
      <c r="D155" s="243"/>
      <c r="E155" s="243"/>
      <c r="F155" s="243"/>
      <c r="G155" s="243"/>
      <c r="H155" s="243"/>
      <c r="I155" s="244"/>
    </row>
    <row r="156" spans="1:9" ht="12.75">
      <c r="A156" s="87" t="s">
        <v>144</v>
      </c>
      <c r="B156" s="87"/>
      <c r="C156" s="87"/>
      <c r="D156" s="87"/>
      <c r="E156" s="87"/>
      <c r="F156" s="87"/>
      <c r="G156" s="169" t="s">
        <v>146</v>
      </c>
      <c r="H156" s="169" t="s">
        <v>12</v>
      </c>
      <c r="I156" s="173">
        <f>1.5*I153</f>
        <v>2109.21</v>
      </c>
    </row>
    <row r="157" spans="1:9" ht="12.75">
      <c r="A157" s="250" t="s">
        <v>147</v>
      </c>
      <c r="B157" s="251"/>
      <c r="C157" s="251"/>
      <c r="D157" s="251"/>
      <c r="E157" s="251"/>
      <c r="F157" s="252"/>
      <c r="G157" s="169"/>
      <c r="H157" s="169"/>
      <c r="I157" s="173"/>
    </row>
    <row r="158" spans="1:9" ht="13.5" thickBot="1">
      <c r="A158" s="270"/>
      <c r="B158" s="270"/>
      <c r="C158" s="270"/>
      <c r="D158" s="270"/>
      <c r="E158" s="270"/>
      <c r="F158" s="270"/>
      <c r="G158" s="270"/>
      <c r="H158" s="270"/>
      <c r="I158" s="271"/>
    </row>
    <row r="159" spans="1:9" ht="15.75" thickBot="1">
      <c r="A159" s="294" t="str">
        <f>IF(AND('A-1-7'!I150&lt;'A-1-7'!I156,'A-1-7'!I141&lt;'A-1-7'!I153),UPPER("stress condition is satisfied "),UPPER("stress condition is not satisfied,increase reinforcements"))</f>
        <v>STRESS CONDITION IS SATISFIED </v>
      </c>
      <c r="B159" s="295"/>
      <c r="C159" s="295"/>
      <c r="D159" s="295"/>
      <c r="E159" s="295"/>
      <c r="F159" s="295"/>
      <c r="G159" s="295"/>
      <c r="H159" s="295"/>
      <c r="I159" s="296"/>
    </row>
  </sheetData>
  <sheetProtection password="CD2A" sheet="1"/>
  <mergeCells count="217">
    <mergeCell ref="A1:I1"/>
    <mergeCell ref="A22:I22"/>
    <mergeCell ref="A23:I23"/>
    <mergeCell ref="A30:I30"/>
    <mergeCell ref="A24:F24"/>
    <mergeCell ref="A21:I21"/>
    <mergeCell ref="A27:F27"/>
    <mergeCell ref="A16:G16"/>
    <mergeCell ref="A28:F28"/>
    <mergeCell ref="A11:I11"/>
    <mergeCell ref="A18:I18"/>
    <mergeCell ref="A104:I104"/>
    <mergeCell ref="I121:I122"/>
    <mergeCell ref="I124:I125"/>
    <mergeCell ref="A25:F25"/>
    <mergeCell ref="A111:F112"/>
    <mergeCell ref="G111:G112"/>
    <mergeCell ref="H111:H112"/>
    <mergeCell ref="I111:I112"/>
    <mergeCell ref="A62:I62"/>
    <mergeCell ref="G105:G106"/>
    <mergeCell ref="H105:H106"/>
    <mergeCell ref="A40:I40"/>
    <mergeCell ref="A106:F106"/>
    <mergeCell ref="A105:F105"/>
    <mergeCell ref="A44:F44"/>
    <mergeCell ref="A47:F47"/>
    <mergeCell ref="H44:H45"/>
    <mergeCell ref="I44:I45"/>
    <mergeCell ref="G47:G48"/>
    <mergeCell ref="A108:F108"/>
    <mergeCell ref="A159:I159"/>
    <mergeCell ref="A134:F134"/>
    <mergeCell ref="A140:I140"/>
    <mergeCell ref="I131:I132"/>
    <mergeCell ref="I137:I138"/>
    <mergeCell ref="H137:H138"/>
    <mergeCell ref="A137:F138"/>
    <mergeCell ref="A120:I120"/>
    <mergeCell ref="A116:F116"/>
    <mergeCell ref="A45:F45"/>
    <mergeCell ref="A29:I29"/>
    <mergeCell ref="A33:I33"/>
    <mergeCell ref="A32:F32"/>
    <mergeCell ref="A35:F35"/>
    <mergeCell ref="A34:F34"/>
    <mergeCell ref="A31:F31"/>
    <mergeCell ref="H31:H32"/>
    <mergeCell ref="I31:I32"/>
    <mergeCell ref="G31:G32"/>
    <mergeCell ref="A26:I26"/>
    <mergeCell ref="I50:I51"/>
    <mergeCell ref="G41:G42"/>
    <mergeCell ref="H41:H42"/>
    <mergeCell ref="I41:I42"/>
    <mergeCell ref="G44:G45"/>
    <mergeCell ref="H47:H48"/>
    <mergeCell ref="I47:I48"/>
    <mergeCell ref="G50:G51"/>
    <mergeCell ref="H50:H51"/>
    <mergeCell ref="I53:I54"/>
    <mergeCell ref="G56:G57"/>
    <mergeCell ref="H56:H57"/>
    <mergeCell ref="I56:I57"/>
    <mergeCell ref="G24:G25"/>
    <mergeCell ref="H24:H25"/>
    <mergeCell ref="I24:I25"/>
    <mergeCell ref="G27:G28"/>
    <mergeCell ref="H27:H28"/>
    <mergeCell ref="I27:I28"/>
    <mergeCell ref="A119:F119"/>
    <mergeCell ref="A118:F118"/>
    <mergeCell ref="A63:I63"/>
    <mergeCell ref="A60:I60"/>
    <mergeCell ref="A109:F109"/>
    <mergeCell ref="A114:I114"/>
    <mergeCell ref="G108:G109"/>
    <mergeCell ref="H108:H109"/>
    <mergeCell ref="A107:I107"/>
    <mergeCell ref="I108:I109"/>
    <mergeCell ref="G150:G151"/>
    <mergeCell ref="H150:H151"/>
    <mergeCell ref="G118:G119"/>
    <mergeCell ref="A53:F53"/>
    <mergeCell ref="H53:H54"/>
    <mergeCell ref="A64:I64"/>
    <mergeCell ref="A65:I65"/>
    <mergeCell ref="A61:I61"/>
    <mergeCell ref="A55:I55"/>
    <mergeCell ref="A115:F115"/>
    <mergeCell ref="A117:I117"/>
    <mergeCell ref="A113:I113"/>
    <mergeCell ref="A153:F153"/>
    <mergeCell ref="A150:F150"/>
    <mergeCell ref="A147:F147"/>
    <mergeCell ref="A144:F144"/>
    <mergeCell ref="A145:F145"/>
    <mergeCell ref="A152:I152"/>
    <mergeCell ref="A148:F148"/>
    <mergeCell ref="A151:F151"/>
    <mergeCell ref="AH116:AP116"/>
    <mergeCell ref="G115:G116"/>
    <mergeCell ref="A122:F122"/>
    <mergeCell ref="A121:F121"/>
    <mergeCell ref="J110:J111"/>
    <mergeCell ref="H115:H116"/>
    <mergeCell ref="I115:I116"/>
    <mergeCell ref="H118:H119"/>
    <mergeCell ref="I118:I119"/>
    <mergeCell ref="A110:I110"/>
    <mergeCell ref="A127:F127"/>
    <mergeCell ref="G121:G122"/>
    <mergeCell ref="H121:H122"/>
    <mergeCell ref="G129:I129"/>
    <mergeCell ref="A123:I123"/>
    <mergeCell ref="G134:G135"/>
    <mergeCell ref="H134:H135"/>
    <mergeCell ref="G131:G132"/>
    <mergeCell ref="H131:H132"/>
    <mergeCell ref="A125:F125"/>
    <mergeCell ref="G153:G154"/>
    <mergeCell ref="H153:H154"/>
    <mergeCell ref="I153:I154"/>
    <mergeCell ref="G156:G157"/>
    <mergeCell ref="H156:H157"/>
    <mergeCell ref="I156:I157"/>
    <mergeCell ref="A155:I155"/>
    <mergeCell ref="A157:F157"/>
    <mergeCell ref="A156:F156"/>
    <mergeCell ref="A154:F154"/>
    <mergeCell ref="A14:I14"/>
    <mergeCell ref="A15:G15"/>
    <mergeCell ref="H15:H16"/>
    <mergeCell ref="I15:I16"/>
    <mergeCell ref="A158:I158"/>
    <mergeCell ref="A130:I130"/>
    <mergeCell ref="A139:I139"/>
    <mergeCell ref="A126:I126"/>
    <mergeCell ref="A133:I133"/>
    <mergeCell ref="A136:I136"/>
    <mergeCell ref="A8:I8"/>
    <mergeCell ref="A12:G12"/>
    <mergeCell ref="H12:H13"/>
    <mergeCell ref="I12:I13"/>
    <mergeCell ref="A13:G13"/>
    <mergeCell ref="A9:G9"/>
    <mergeCell ref="H9:H10"/>
    <mergeCell ref="I9:I10"/>
    <mergeCell ref="A10:G10"/>
    <mergeCell ref="A50:F50"/>
    <mergeCell ref="A56:F56"/>
    <mergeCell ref="A59:I59"/>
    <mergeCell ref="A38:F38"/>
    <mergeCell ref="A37:I37"/>
    <mergeCell ref="A5:I5"/>
    <mergeCell ref="A6:G6"/>
    <mergeCell ref="H6:H7"/>
    <mergeCell ref="I6:I7"/>
    <mergeCell ref="A7:G7"/>
    <mergeCell ref="A2:I2"/>
    <mergeCell ref="A3:G3"/>
    <mergeCell ref="H3:H4"/>
    <mergeCell ref="I3:I4"/>
    <mergeCell ref="A4:G4"/>
    <mergeCell ref="L106:O106"/>
    <mergeCell ref="K30:P30"/>
    <mergeCell ref="A17:I17"/>
    <mergeCell ref="A51:F51"/>
    <mergeCell ref="A39:F39"/>
    <mergeCell ref="A52:I52"/>
    <mergeCell ref="H34:H35"/>
    <mergeCell ref="I34:I35"/>
    <mergeCell ref="G38:G39"/>
    <mergeCell ref="A42:F42"/>
    <mergeCell ref="A43:I43"/>
    <mergeCell ref="G34:G35"/>
    <mergeCell ref="A46:I46"/>
    <mergeCell ref="A49:I49"/>
    <mergeCell ref="A41:F41"/>
    <mergeCell ref="A20:I20"/>
    <mergeCell ref="A58:I58"/>
    <mergeCell ref="I105:I106"/>
    <mergeCell ref="A57:F57"/>
    <mergeCell ref="A48:F48"/>
    <mergeCell ref="A54:F54"/>
    <mergeCell ref="H38:H39"/>
    <mergeCell ref="I38:I39"/>
    <mergeCell ref="A36:I36"/>
    <mergeCell ref="G53:G54"/>
    <mergeCell ref="A135:F135"/>
    <mergeCell ref="A142:F142"/>
    <mergeCell ref="A149:I149"/>
    <mergeCell ref="H141:H142"/>
    <mergeCell ref="G141:G142"/>
    <mergeCell ref="I141:I142"/>
    <mergeCell ref="I144:I145"/>
    <mergeCell ref="A141:F141"/>
    <mergeCell ref="I150:I151"/>
    <mergeCell ref="G144:G145"/>
    <mergeCell ref="A146:I146"/>
    <mergeCell ref="O130:T130"/>
    <mergeCell ref="G147:G148"/>
    <mergeCell ref="H147:H148"/>
    <mergeCell ref="I147:I148"/>
    <mergeCell ref="I134:I135"/>
    <mergeCell ref="G137:G138"/>
    <mergeCell ref="H144:H145"/>
    <mergeCell ref="A143:I143"/>
    <mergeCell ref="H124:H125"/>
    <mergeCell ref="G124:G125"/>
    <mergeCell ref="G127:G128"/>
    <mergeCell ref="H127:H128"/>
    <mergeCell ref="I127:I128"/>
    <mergeCell ref="A131:F132"/>
    <mergeCell ref="A124:F124"/>
    <mergeCell ref="A129:F129"/>
    <mergeCell ref="A128:F128"/>
  </mergeCells>
  <conditionalFormatting sqref="L153:L155">
    <cfRule type="cellIs" priority="7" dxfId="0" operator="equal" stopIfTrue="1">
      <formula>"stress condition is not satisfied,increase reinforcements"</formula>
    </cfRule>
  </conditionalFormatting>
  <conditionalFormatting sqref="L63">
    <cfRule type="cellIs" priority="3" dxfId="17" operator="equal" stopIfTrue="1">
      <formula>"for given inputs it need not be checked"</formula>
    </cfRule>
  </conditionalFormatting>
  <conditionalFormatting sqref="A59:A60 B59:I59">
    <cfRule type="cellIs" priority="1" dxfId="10" operator="equal" stopIfTrue="1">
      <formula>"limit of reinforcement is satisfied"</formula>
    </cfRule>
    <cfRule type="cellIs" priority="2" dxfId="0" operator="equal" stopIfTrue="1">
      <formula>"limit of reinforcement is not satisfied"</formula>
    </cfRule>
  </conditionalFormatting>
  <conditionalFormatting sqref="A18:I18">
    <cfRule type="cellIs" priority="14" dxfId="10" operator="equal" stopIfTrue="1">
      <formula>"Provided nozzle wall thickness is sufficient"</formula>
    </cfRule>
    <cfRule type="cellIs" priority="15" dxfId="0" operator="equal" stopIfTrue="1">
      <formula>"Provided nozzle wall thickness is insufficient"</formula>
    </cfRule>
  </conditionalFormatting>
  <conditionalFormatting sqref="A159:I159">
    <cfRule type="cellIs" priority="16" dxfId="10" operator="equal" stopIfTrue="1">
      <formula>"stress condition is satisfied "</formula>
    </cfRule>
    <cfRule type="cellIs" priority="17" dxfId="0" operator="equal" stopIfTrue="1">
      <formula>"stress condition is not satisfied,increase reinforcements"</formula>
    </cfRule>
  </conditionalFormatting>
  <conditionalFormatting sqref="A63:I63">
    <cfRule type="cellIs" priority="26" dxfId="10" operator="equal" stopIfTrue="1">
      <formula>"for given inputs it needs to be checked"</formula>
    </cfRule>
    <cfRule type="cellIs" priority="27" dxfId="0" operator="equal" stopIfTrue="1">
      <formula>"for given inputs it need not be checked"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I15" sqref="I15"/>
    </sheetView>
  </sheetViews>
  <sheetFormatPr defaultColWidth="9.140625" defaultRowHeight="12.75"/>
  <cols>
    <col min="7" max="7" width="10.421875" style="0" customWidth="1"/>
  </cols>
  <sheetData>
    <row r="1" spans="1:9" ht="12.75">
      <c r="A1" s="321"/>
      <c r="B1" s="323" t="s">
        <v>304</v>
      </c>
      <c r="C1" s="324"/>
      <c r="D1" s="324"/>
      <c r="E1" s="324"/>
      <c r="F1" s="324"/>
      <c r="G1" s="325"/>
      <c r="H1" s="329" t="s">
        <v>220</v>
      </c>
      <c r="I1" s="114"/>
    </row>
    <row r="2" spans="1:9" ht="12.75">
      <c r="A2" s="322"/>
      <c r="B2" s="326"/>
      <c r="C2" s="327"/>
      <c r="D2" s="327"/>
      <c r="E2" s="327"/>
      <c r="F2" s="327"/>
      <c r="G2" s="328"/>
      <c r="H2" s="330"/>
      <c r="I2" s="115"/>
    </row>
    <row r="3" spans="1:9" ht="12.75">
      <c r="A3" s="322"/>
      <c r="B3" s="331" t="s">
        <v>221</v>
      </c>
      <c r="C3" s="332"/>
      <c r="D3" s="332"/>
      <c r="E3" s="332"/>
      <c r="F3" s="332"/>
      <c r="G3" s="333"/>
      <c r="H3" s="330" t="s">
        <v>222</v>
      </c>
      <c r="I3" s="124"/>
    </row>
    <row r="4" spans="1:9" ht="12.75">
      <c r="A4" s="322"/>
      <c r="B4" s="334"/>
      <c r="C4" s="335"/>
      <c r="D4" s="335"/>
      <c r="E4" s="335"/>
      <c r="F4" s="335"/>
      <c r="G4" s="336"/>
      <c r="H4" s="330"/>
      <c r="I4" s="115"/>
    </row>
    <row r="5" spans="1:9" ht="12.75">
      <c r="A5" s="337" t="s">
        <v>305</v>
      </c>
      <c r="B5" s="338"/>
      <c r="C5" s="338"/>
      <c r="D5" s="338"/>
      <c r="E5" s="338"/>
      <c r="F5" s="338"/>
      <c r="G5" s="47" t="s">
        <v>19</v>
      </c>
      <c r="H5" s="47" t="s">
        <v>306</v>
      </c>
      <c r="I5" s="76">
        <f>INPUTS!I7</f>
        <v>5.602</v>
      </c>
    </row>
    <row r="6" spans="1:9" ht="12.75">
      <c r="A6" s="337" t="s">
        <v>307</v>
      </c>
      <c r="B6" s="338"/>
      <c r="C6" s="338"/>
      <c r="D6" s="338"/>
      <c r="E6" s="338"/>
      <c r="F6" s="338"/>
      <c r="G6" s="47" t="s">
        <v>308</v>
      </c>
      <c r="H6" s="47" t="s">
        <v>14</v>
      </c>
      <c r="I6" s="83">
        <v>1</v>
      </c>
    </row>
    <row r="7" spans="1:9" ht="12.75">
      <c r="A7" s="337" t="s">
        <v>309</v>
      </c>
      <c r="B7" s="338"/>
      <c r="C7" s="338"/>
      <c r="D7" s="338"/>
      <c r="E7" s="338"/>
      <c r="F7" s="338"/>
      <c r="G7" s="47" t="s">
        <v>310</v>
      </c>
      <c r="H7" s="47" t="s">
        <v>11</v>
      </c>
      <c r="I7" s="76">
        <f>INPUTS!I8</f>
        <v>3500</v>
      </c>
    </row>
    <row r="8" spans="1:9" ht="12.75">
      <c r="A8" s="337" t="s">
        <v>311</v>
      </c>
      <c r="B8" s="338"/>
      <c r="C8" s="338"/>
      <c r="D8" s="338"/>
      <c r="E8" s="338"/>
      <c r="F8" s="338"/>
      <c r="G8" s="47" t="s">
        <v>312</v>
      </c>
      <c r="H8" s="47" t="s">
        <v>11</v>
      </c>
      <c r="I8" s="76">
        <f>INPUTS!I17</f>
        <v>610</v>
      </c>
    </row>
    <row r="9" spans="1:9" ht="12.75">
      <c r="A9" s="337" t="s">
        <v>313</v>
      </c>
      <c r="B9" s="338"/>
      <c r="C9" s="338"/>
      <c r="D9" s="338"/>
      <c r="E9" s="338"/>
      <c r="F9" s="338"/>
      <c r="G9" s="47" t="s">
        <v>314</v>
      </c>
      <c r="H9" s="47" t="s">
        <v>11</v>
      </c>
      <c r="I9" s="48">
        <f>(I8-2*I12+2*I15)/2</f>
        <v>292.2</v>
      </c>
    </row>
    <row r="10" spans="1:9" ht="12.75">
      <c r="A10" s="337" t="s">
        <v>315</v>
      </c>
      <c r="B10" s="338"/>
      <c r="C10" s="338"/>
      <c r="D10" s="338"/>
      <c r="E10" s="338"/>
      <c r="F10" s="338"/>
      <c r="G10" s="47" t="s">
        <v>9</v>
      </c>
      <c r="H10" s="47" t="s">
        <v>11</v>
      </c>
      <c r="I10" s="48">
        <f>2*I9</f>
        <v>584.4</v>
      </c>
    </row>
    <row r="11" spans="1:9" ht="12.75">
      <c r="A11" s="337" t="s">
        <v>316</v>
      </c>
      <c r="B11" s="338"/>
      <c r="C11" s="338"/>
      <c r="D11" s="338"/>
      <c r="E11" s="338"/>
      <c r="F11" s="338"/>
      <c r="G11" s="47" t="s">
        <v>0</v>
      </c>
      <c r="H11" s="47" t="s">
        <v>11</v>
      </c>
      <c r="I11" s="83">
        <v>70</v>
      </c>
    </row>
    <row r="12" spans="1:9" ht="12.75">
      <c r="A12" s="337" t="s">
        <v>317</v>
      </c>
      <c r="B12" s="338"/>
      <c r="C12" s="338"/>
      <c r="D12" s="338"/>
      <c r="E12" s="338"/>
      <c r="F12" s="338"/>
      <c r="G12" s="47" t="s">
        <v>318</v>
      </c>
      <c r="H12" s="47" t="s">
        <v>11</v>
      </c>
      <c r="I12" s="76">
        <f>INPUTS!I18</f>
        <v>16</v>
      </c>
    </row>
    <row r="13" spans="1:9" ht="12.75">
      <c r="A13" s="337" t="s">
        <v>319</v>
      </c>
      <c r="B13" s="338"/>
      <c r="C13" s="338"/>
      <c r="D13" s="338"/>
      <c r="E13" s="338"/>
      <c r="F13" s="338"/>
      <c r="G13" s="47" t="s">
        <v>320</v>
      </c>
      <c r="H13" s="47" t="s">
        <v>11</v>
      </c>
      <c r="I13" s="76">
        <f>INPUTS!I32</f>
        <v>100</v>
      </c>
    </row>
    <row r="14" spans="1:9" ht="12.75">
      <c r="A14" s="337" t="s">
        <v>321</v>
      </c>
      <c r="B14" s="338"/>
      <c r="C14" s="338"/>
      <c r="D14" s="338"/>
      <c r="E14" s="338"/>
      <c r="F14" s="338"/>
      <c r="G14" s="47" t="s">
        <v>322</v>
      </c>
      <c r="H14" s="47" t="s">
        <v>11</v>
      </c>
      <c r="I14" s="76">
        <f>INPUTS!I30</f>
        <v>25</v>
      </c>
    </row>
    <row r="15" spans="1:9" ht="12.75">
      <c r="A15" s="337" t="s">
        <v>323</v>
      </c>
      <c r="B15" s="338"/>
      <c r="C15" s="338"/>
      <c r="D15" s="338"/>
      <c r="E15" s="338"/>
      <c r="F15" s="338"/>
      <c r="G15" s="47" t="s">
        <v>324</v>
      </c>
      <c r="H15" s="47" t="s">
        <v>11</v>
      </c>
      <c r="I15" s="76">
        <f>INPUTS!I12</f>
        <v>3.2</v>
      </c>
    </row>
    <row r="16" spans="1:12" ht="15">
      <c r="A16" s="337" t="s">
        <v>325</v>
      </c>
      <c r="B16" s="338"/>
      <c r="C16" s="338"/>
      <c r="D16" s="338"/>
      <c r="E16" s="338"/>
      <c r="F16" s="338"/>
      <c r="G16" s="47" t="s">
        <v>326</v>
      </c>
      <c r="H16" s="47" t="s">
        <v>306</v>
      </c>
      <c r="I16" s="76">
        <f>INPUTS!I11</f>
        <v>1406.14</v>
      </c>
      <c r="K16" s="49">
        <f>((3.14*(I7/2+I13)^2-(I7/2)^2)*I14+(3.14*(I7/2+I13)^2-(I7/2)^2)*(I19+1.5*I12)+(0.5*I19*(I13-I12))*3.14*I7)/1000000000</f>
        <v>1.06090404581675</v>
      </c>
      <c r="L16" s="49">
        <f>K16*7800</f>
        <v>8275.05155737065</v>
      </c>
    </row>
    <row r="17" spans="1:9" ht="12.75">
      <c r="A17" s="337" t="s">
        <v>327</v>
      </c>
      <c r="B17" s="338"/>
      <c r="C17" s="338"/>
      <c r="D17" s="338"/>
      <c r="E17" s="338"/>
      <c r="F17" s="338"/>
      <c r="G17" s="47" t="s">
        <v>328</v>
      </c>
      <c r="H17" s="47" t="s">
        <v>306</v>
      </c>
      <c r="I17" s="76">
        <f>INPUTS!I20</f>
        <v>1406.14</v>
      </c>
    </row>
    <row r="18" spans="1:9" ht="12.75">
      <c r="A18" s="337" t="s">
        <v>329</v>
      </c>
      <c r="B18" s="338"/>
      <c r="C18" s="338"/>
      <c r="D18" s="338"/>
      <c r="E18" s="338"/>
      <c r="F18" s="338"/>
      <c r="G18" s="47" t="s">
        <v>330</v>
      </c>
      <c r="H18" s="47" t="s">
        <v>11</v>
      </c>
      <c r="I18" s="76">
        <f>INPUTS!I36</f>
        <v>16</v>
      </c>
    </row>
    <row r="19" spans="1:9" ht="12.75">
      <c r="A19" s="337" t="s">
        <v>331</v>
      </c>
      <c r="B19" s="338"/>
      <c r="C19" s="338"/>
      <c r="D19" s="338"/>
      <c r="E19" s="338"/>
      <c r="F19" s="338"/>
      <c r="G19" s="47" t="s">
        <v>332</v>
      </c>
      <c r="H19" s="47" t="s">
        <v>11</v>
      </c>
      <c r="I19" s="50">
        <f>(I13-I12)*TAN(45*3.142/180)</f>
        <v>84.01711029174182</v>
      </c>
    </row>
    <row r="20" spans="1:9" ht="12.75">
      <c r="A20" s="337" t="s">
        <v>333</v>
      </c>
      <c r="B20" s="338"/>
      <c r="C20" s="338"/>
      <c r="D20" s="338"/>
      <c r="E20" s="338"/>
      <c r="F20" s="338"/>
      <c r="G20" s="47" t="s">
        <v>334</v>
      </c>
      <c r="H20" s="47" t="s">
        <v>11</v>
      </c>
      <c r="I20" s="51">
        <f>I14+I19+1.5*I12</f>
        <v>133.0171102917418</v>
      </c>
    </row>
    <row r="21" spans="1:9" ht="13.5" thickBot="1">
      <c r="A21" s="52"/>
      <c r="B21" s="47"/>
      <c r="C21" s="47"/>
      <c r="D21" s="47"/>
      <c r="E21" s="47"/>
      <c r="F21" s="47"/>
      <c r="G21" s="47"/>
      <c r="H21" s="47"/>
      <c r="I21" s="53"/>
    </row>
    <row r="22" spans="1:9" ht="15">
      <c r="A22" s="339" t="s">
        <v>335</v>
      </c>
      <c r="B22" s="340"/>
      <c r="C22" s="340"/>
      <c r="D22" s="340"/>
      <c r="E22" s="340"/>
      <c r="F22" s="340"/>
      <c r="G22" s="340"/>
      <c r="H22" s="340"/>
      <c r="I22" s="341"/>
    </row>
    <row r="23" spans="1:9" ht="12.75">
      <c r="A23" s="342" t="s">
        <v>336</v>
      </c>
      <c r="B23" s="343"/>
      <c r="C23" s="343"/>
      <c r="D23" s="343"/>
      <c r="E23" s="343"/>
      <c r="F23" s="343"/>
      <c r="G23" s="344" t="s">
        <v>318</v>
      </c>
      <c r="H23" s="344" t="s">
        <v>11</v>
      </c>
      <c r="I23" s="345">
        <f>0.5*(I10)*(EXP(I5/(I17*I6))-1)+I15</f>
        <v>4.366433934078669</v>
      </c>
    </row>
    <row r="24" spans="1:9" ht="12.75">
      <c r="A24" s="342"/>
      <c r="B24" s="343"/>
      <c r="C24" s="343"/>
      <c r="D24" s="343"/>
      <c r="E24" s="343"/>
      <c r="F24" s="343"/>
      <c r="G24" s="344"/>
      <c r="H24" s="344"/>
      <c r="I24" s="345"/>
    </row>
    <row r="25" spans="1:9" ht="12.75">
      <c r="A25" s="52" t="s">
        <v>337</v>
      </c>
      <c r="B25" s="47" t="s">
        <v>338</v>
      </c>
      <c r="C25" s="346" t="s">
        <v>339</v>
      </c>
      <c r="D25" s="346"/>
      <c r="E25" s="346"/>
      <c r="F25" s="346"/>
      <c r="G25" s="346"/>
      <c r="H25" s="346"/>
      <c r="I25" s="347"/>
    </row>
    <row r="26" spans="1:9" ht="12.75">
      <c r="A26" s="52">
        <v>323.8</v>
      </c>
      <c r="B26" s="47">
        <v>8.34</v>
      </c>
      <c r="C26" s="346"/>
      <c r="D26" s="346"/>
      <c r="E26" s="346"/>
      <c r="F26" s="346"/>
      <c r="G26" s="346"/>
      <c r="H26" s="346"/>
      <c r="I26" s="347"/>
    </row>
    <row r="27" spans="1:9" ht="12.75">
      <c r="A27" s="52">
        <v>273</v>
      </c>
      <c r="B27" s="47">
        <v>8.11</v>
      </c>
      <c r="C27" s="346"/>
      <c r="D27" s="346"/>
      <c r="E27" s="346"/>
      <c r="F27" s="346"/>
      <c r="G27" s="346"/>
      <c r="H27" s="346"/>
      <c r="I27" s="347"/>
    </row>
    <row r="28" spans="1:9" ht="12.75">
      <c r="A28" s="52">
        <v>219.1</v>
      </c>
      <c r="B28" s="47">
        <v>7.16</v>
      </c>
      <c r="C28" s="346"/>
      <c r="D28" s="346"/>
      <c r="E28" s="346"/>
      <c r="F28" s="346"/>
      <c r="G28" s="346"/>
      <c r="H28" s="346"/>
      <c r="I28" s="347"/>
    </row>
    <row r="29" spans="1:9" ht="12.75">
      <c r="A29" s="52">
        <v>168.3</v>
      </c>
      <c r="B29" s="47">
        <v>6.22</v>
      </c>
      <c r="C29" s="346"/>
      <c r="D29" s="346"/>
      <c r="E29" s="346"/>
      <c r="F29" s="346"/>
      <c r="G29" s="346"/>
      <c r="H29" s="346"/>
      <c r="I29" s="347"/>
    </row>
    <row r="30" spans="1:9" ht="12.75">
      <c r="A30" s="52">
        <v>141.3</v>
      </c>
      <c r="B30" s="47">
        <v>5.73</v>
      </c>
      <c r="C30" s="346"/>
      <c r="D30" s="346"/>
      <c r="E30" s="346"/>
      <c r="F30" s="346"/>
      <c r="G30" s="346"/>
      <c r="H30" s="346"/>
      <c r="I30" s="347"/>
    </row>
    <row r="31" spans="1:9" ht="12.75">
      <c r="A31" s="52">
        <v>114.3</v>
      </c>
      <c r="B31" s="47">
        <v>5.27</v>
      </c>
      <c r="C31" s="346"/>
      <c r="D31" s="346"/>
      <c r="E31" s="346"/>
      <c r="F31" s="346"/>
      <c r="G31" s="346"/>
      <c r="H31" s="346"/>
      <c r="I31" s="347"/>
    </row>
    <row r="32" spans="1:9" ht="12.75">
      <c r="A32" s="52">
        <v>101.6</v>
      </c>
      <c r="B32" s="47">
        <v>5.02</v>
      </c>
      <c r="C32" s="346"/>
      <c r="D32" s="346"/>
      <c r="E32" s="346"/>
      <c r="F32" s="346"/>
      <c r="G32" s="346"/>
      <c r="H32" s="346"/>
      <c r="I32" s="347"/>
    </row>
    <row r="33" spans="1:9" ht="12.75">
      <c r="A33" s="52">
        <v>88.9</v>
      </c>
      <c r="B33" s="47">
        <v>4.8</v>
      </c>
      <c r="C33" s="346"/>
      <c r="D33" s="346"/>
      <c r="E33" s="346"/>
      <c r="F33" s="346"/>
      <c r="G33" s="346"/>
      <c r="H33" s="346"/>
      <c r="I33" s="347"/>
    </row>
    <row r="34" spans="1:9" ht="12.75">
      <c r="A34" s="52">
        <v>73</v>
      </c>
      <c r="B34" s="47">
        <v>4.52</v>
      </c>
      <c r="C34" s="346"/>
      <c r="D34" s="346"/>
      <c r="E34" s="346"/>
      <c r="F34" s="346"/>
      <c r="G34" s="346"/>
      <c r="H34" s="346"/>
      <c r="I34" s="347"/>
    </row>
    <row r="35" spans="1:9" ht="12.75">
      <c r="A35" s="52">
        <v>60.3</v>
      </c>
      <c r="B35" s="47">
        <v>3.42</v>
      </c>
      <c r="C35" s="346"/>
      <c r="D35" s="346"/>
      <c r="E35" s="346"/>
      <c r="F35" s="346"/>
      <c r="G35" s="346"/>
      <c r="H35" s="346"/>
      <c r="I35" s="347"/>
    </row>
    <row r="36" spans="1:9" ht="12.75">
      <c r="A36" s="52">
        <v>48.3</v>
      </c>
      <c r="B36" s="47">
        <v>3.22</v>
      </c>
      <c r="C36" s="346"/>
      <c r="D36" s="346"/>
      <c r="E36" s="346"/>
      <c r="F36" s="346"/>
      <c r="G36" s="346"/>
      <c r="H36" s="346"/>
      <c r="I36" s="347"/>
    </row>
    <row r="37" spans="1:9" ht="12.75">
      <c r="A37" s="52">
        <v>42.2</v>
      </c>
      <c r="B37" s="47">
        <v>3.12</v>
      </c>
      <c r="C37" s="346"/>
      <c r="D37" s="346"/>
      <c r="E37" s="346"/>
      <c r="F37" s="346"/>
      <c r="G37" s="346"/>
      <c r="H37" s="346"/>
      <c r="I37" s="347"/>
    </row>
    <row r="38" spans="1:9" ht="12.75">
      <c r="A38" s="52">
        <v>33.4</v>
      </c>
      <c r="B38" s="47">
        <v>2.96</v>
      </c>
      <c r="C38" s="346"/>
      <c r="D38" s="346"/>
      <c r="E38" s="346"/>
      <c r="F38" s="346"/>
      <c r="G38" s="346"/>
      <c r="H38" s="346"/>
      <c r="I38" s="347"/>
    </row>
    <row r="39" spans="1:9" ht="12.75">
      <c r="A39" s="52">
        <v>26.7</v>
      </c>
      <c r="B39" s="47">
        <v>2.51</v>
      </c>
      <c r="C39" s="346"/>
      <c r="D39" s="346"/>
      <c r="E39" s="346"/>
      <c r="F39" s="346"/>
      <c r="G39" s="346"/>
      <c r="H39" s="346"/>
      <c r="I39" s="347"/>
    </row>
    <row r="40" spans="1:9" ht="12.75">
      <c r="A40" s="52">
        <v>21.3</v>
      </c>
      <c r="B40" s="47">
        <v>2.42</v>
      </c>
      <c r="C40" s="346"/>
      <c r="D40" s="346"/>
      <c r="E40" s="346"/>
      <c r="F40" s="346"/>
      <c r="G40" s="346"/>
      <c r="H40" s="346"/>
      <c r="I40" s="347"/>
    </row>
    <row r="41" spans="1:9" ht="12.75">
      <c r="A41" s="52">
        <v>17.1</v>
      </c>
      <c r="B41" s="47">
        <v>2.02</v>
      </c>
      <c r="C41" s="346"/>
      <c r="D41" s="346"/>
      <c r="E41" s="346"/>
      <c r="F41" s="346"/>
      <c r="G41" s="346"/>
      <c r="H41" s="346"/>
      <c r="I41" s="347"/>
    </row>
    <row r="42" spans="1:9" ht="12.75">
      <c r="A42" s="52">
        <v>13.7</v>
      </c>
      <c r="B42" s="47">
        <v>1.96</v>
      </c>
      <c r="C42" s="346"/>
      <c r="D42" s="346"/>
      <c r="E42" s="346"/>
      <c r="F42" s="346"/>
      <c r="G42" s="346"/>
      <c r="H42" s="346"/>
      <c r="I42" s="347"/>
    </row>
    <row r="43" spans="1:9" ht="12.75">
      <c r="A43" s="52">
        <v>10.3</v>
      </c>
      <c r="B43" s="47">
        <v>1.51</v>
      </c>
      <c r="C43" s="346"/>
      <c r="D43" s="346"/>
      <c r="E43" s="346"/>
      <c r="F43" s="346"/>
      <c r="G43" s="346"/>
      <c r="H43" s="346"/>
      <c r="I43" s="347"/>
    </row>
    <row r="44" spans="1:9" ht="12.75">
      <c r="A44" s="52"/>
      <c r="B44" s="47"/>
      <c r="C44" s="346"/>
      <c r="D44" s="346"/>
      <c r="E44" s="346"/>
      <c r="F44" s="346"/>
      <c r="G44" s="346"/>
      <c r="H44" s="346"/>
      <c r="I44" s="347"/>
    </row>
    <row r="45" spans="1:9" ht="15">
      <c r="A45" s="54">
        <f>I8</f>
        <v>610</v>
      </c>
      <c r="B45" s="55">
        <f>IF(A45&gt;A26,B26,INDEX(B26:B43,MATCH(I8,A26:A43,-1),1))</f>
        <v>8.34</v>
      </c>
      <c r="C45" s="346"/>
      <c r="D45" s="346"/>
      <c r="E45" s="346"/>
      <c r="F45" s="346"/>
      <c r="G45" s="346"/>
      <c r="H45" s="346"/>
      <c r="I45" s="347"/>
    </row>
    <row r="46" spans="1:9" ht="12.75">
      <c r="A46" s="348" t="s">
        <v>340</v>
      </c>
      <c r="B46" s="344"/>
      <c r="C46" s="344"/>
      <c r="D46" s="344"/>
      <c r="E46" s="344" t="s">
        <v>341</v>
      </c>
      <c r="F46" s="344"/>
      <c r="G46" s="344"/>
      <c r="H46" s="344">
        <f>MAX(I23,B45+I15)</f>
        <v>11.54</v>
      </c>
      <c r="I46" s="345"/>
    </row>
    <row r="47" spans="1:9" ht="12.75">
      <c r="A47" s="348"/>
      <c r="B47" s="344"/>
      <c r="C47" s="344"/>
      <c r="D47" s="344"/>
      <c r="E47" s="344"/>
      <c r="F47" s="344"/>
      <c r="G47" s="344"/>
      <c r="H47" s="344"/>
      <c r="I47" s="345"/>
    </row>
    <row r="48" spans="1:9" ht="17.25">
      <c r="A48" s="349" t="s">
        <v>342</v>
      </c>
      <c r="B48" s="350"/>
      <c r="C48" s="350"/>
      <c r="D48" s="350"/>
      <c r="E48" s="350"/>
      <c r="F48" s="350"/>
      <c r="G48" s="350"/>
      <c r="H48" s="350"/>
      <c r="I48" s="351"/>
    </row>
    <row r="49" spans="1:9" ht="15.75" thickBot="1">
      <c r="A49" s="352" t="s">
        <v>343</v>
      </c>
      <c r="B49" s="353"/>
      <c r="C49" s="353"/>
      <c r="D49" s="353"/>
      <c r="E49" s="353"/>
      <c r="F49" s="353"/>
      <c r="G49" s="353"/>
      <c r="H49" s="353"/>
      <c r="I49" s="354"/>
    </row>
    <row r="50" spans="1:9" ht="12.75">
      <c r="A50" s="355" t="s">
        <v>344</v>
      </c>
      <c r="B50" s="356"/>
      <c r="C50" s="356"/>
      <c r="D50" s="356"/>
      <c r="E50" s="356"/>
      <c r="F50" s="356"/>
      <c r="G50" s="357" t="s">
        <v>345</v>
      </c>
      <c r="H50" s="357" t="s">
        <v>14</v>
      </c>
      <c r="I50" s="358">
        <f>MIN(I17/I16,1)</f>
        <v>1</v>
      </c>
    </row>
    <row r="51" spans="1:9" ht="12.75">
      <c r="A51" s="355" t="s">
        <v>346</v>
      </c>
      <c r="B51" s="356"/>
      <c r="C51" s="356"/>
      <c r="D51" s="356"/>
      <c r="E51" s="356"/>
      <c r="F51" s="356"/>
      <c r="G51" s="357"/>
      <c r="H51" s="357"/>
      <c r="I51" s="358"/>
    </row>
    <row r="52" spans="1:9" ht="12.75">
      <c r="A52" s="359"/>
      <c r="B52" s="360"/>
      <c r="C52" s="360"/>
      <c r="D52" s="360"/>
      <c r="E52" s="360"/>
      <c r="F52" s="360"/>
      <c r="G52" s="56"/>
      <c r="H52" s="56"/>
      <c r="I52" s="57"/>
    </row>
    <row r="53" spans="1:9" ht="12.75">
      <c r="A53" s="361" t="s">
        <v>347</v>
      </c>
      <c r="B53" s="362"/>
      <c r="C53" s="362"/>
      <c r="D53" s="362"/>
      <c r="E53" s="362"/>
      <c r="F53" s="362"/>
      <c r="G53" s="357" t="s">
        <v>348</v>
      </c>
      <c r="H53" s="357" t="s">
        <v>11</v>
      </c>
      <c r="I53" s="358">
        <f>I13-I15</f>
        <v>96.8</v>
      </c>
    </row>
    <row r="54" spans="1:9" ht="12.75">
      <c r="A54" s="361" t="s">
        <v>349</v>
      </c>
      <c r="B54" s="362"/>
      <c r="C54" s="362"/>
      <c r="D54" s="362"/>
      <c r="E54" s="362"/>
      <c r="F54" s="362"/>
      <c r="G54" s="357"/>
      <c r="H54" s="357"/>
      <c r="I54" s="358"/>
    </row>
    <row r="55" spans="1:9" ht="12.75">
      <c r="A55" s="359"/>
      <c r="B55" s="360"/>
      <c r="C55" s="360"/>
      <c r="D55" s="360"/>
      <c r="E55" s="360"/>
      <c r="F55" s="360"/>
      <c r="G55" s="56"/>
      <c r="H55" s="56"/>
      <c r="I55" s="57"/>
    </row>
    <row r="56" spans="1:9" ht="12.75">
      <c r="A56" s="361" t="s">
        <v>350</v>
      </c>
      <c r="B56" s="362"/>
      <c r="C56" s="362"/>
      <c r="D56" s="362"/>
      <c r="E56" s="362"/>
      <c r="F56" s="362"/>
      <c r="G56" s="357" t="s">
        <v>351</v>
      </c>
      <c r="H56" s="357" t="s">
        <v>11</v>
      </c>
      <c r="I56" s="358">
        <f>I12-I15</f>
        <v>12.8</v>
      </c>
    </row>
    <row r="57" spans="1:9" ht="12.75">
      <c r="A57" s="361" t="s">
        <v>352</v>
      </c>
      <c r="B57" s="362"/>
      <c r="C57" s="362"/>
      <c r="D57" s="362"/>
      <c r="E57" s="362"/>
      <c r="F57" s="362"/>
      <c r="G57" s="357"/>
      <c r="H57" s="357"/>
      <c r="I57" s="358"/>
    </row>
    <row r="58" spans="1:9" ht="12.75">
      <c r="A58" s="359"/>
      <c r="B58" s="360"/>
      <c r="C58" s="360"/>
      <c r="D58" s="360"/>
      <c r="E58" s="360"/>
      <c r="F58" s="360"/>
      <c r="G58" s="56"/>
      <c r="H58" s="56"/>
      <c r="I58" s="57"/>
    </row>
    <row r="59" spans="1:9" ht="12.75">
      <c r="A59" s="337" t="s">
        <v>353</v>
      </c>
      <c r="B59" s="338"/>
      <c r="C59" s="338"/>
      <c r="D59" s="338"/>
      <c r="E59" s="338"/>
      <c r="F59" s="338"/>
      <c r="G59" s="13" t="s">
        <v>354</v>
      </c>
      <c r="H59" s="47" t="s">
        <v>14</v>
      </c>
      <c r="I59" s="53">
        <f>(I7+2*I15)/(I11-I15)</f>
        <v>52.49101796407186</v>
      </c>
    </row>
    <row r="60" spans="1:9" ht="12.75">
      <c r="A60" s="363"/>
      <c r="B60" s="364"/>
      <c r="C60" s="364"/>
      <c r="D60" s="364"/>
      <c r="E60" s="364"/>
      <c r="F60" s="364"/>
      <c r="G60" s="13"/>
      <c r="H60" s="13"/>
      <c r="I60" s="14"/>
    </row>
    <row r="61" spans="1:9" ht="12.75">
      <c r="A61" s="365" t="s">
        <v>355</v>
      </c>
      <c r="B61" s="366"/>
      <c r="C61" s="366"/>
      <c r="D61" s="366"/>
      <c r="E61" s="366"/>
      <c r="F61" s="366"/>
      <c r="G61" s="47" t="s">
        <v>356</v>
      </c>
      <c r="H61" s="47" t="s">
        <v>11</v>
      </c>
      <c r="I61" s="53">
        <f>0.5*I7+I15</f>
        <v>1753.2</v>
      </c>
    </row>
    <row r="62" spans="1:9" ht="13.5" thickBot="1">
      <c r="A62" s="363"/>
      <c r="B62" s="364"/>
      <c r="C62" s="364"/>
      <c r="D62" s="364"/>
      <c r="E62" s="364"/>
      <c r="F62" s="364"/>
      <c r="G62" s="13"/>
      <c r="H62" s="13"/>
      <c r="I62" s="14"/>
    </row>
    <row r="63" spans="1:9" ht="15">
      <c r="A63" s="339" t="s">
        <v>357</v>
      </c>
      <c r="B63" s="340"/>
      <c r="C63" s="340"/>
      <c r="D63" s="340"/>
      <c r="E63" s="340"/>
      <c r="F63" s="340"/>
      <c r="G63" s="340"/>
      <c r="H63" s="340"/>
      <c r="I63" s="341"/>
    </row>
    <row r="64" spans="1:10" ht="15">
      <c r="A64" s="367" t="s">
        <v>358</v>
      </c>
      <c r="B64" s="368"/>
      <c r="C64" s="368"/>
      <c r="D64" s="368"/>
      <c r="E64" s="368"/>
      <c r="F64" s="368"/>
      <c r="G64" s="369" t="s">
        <v>359</v>
      </c>
      <c r="H64" s="369" t="s">
        <v>11</v>
      </c>
      <c r="I64" s="371">
        <f>MIN(SQRT(I61*(I11-I15)),2*I9)</f>
        <v>342.21887732853077</v>
      </c>
      <c r="J64" s="373"/>
    </row>
    <row r="65" spans="1:10" ht="15.75" thickBot="1">
      <c r="A65" s="374" t="s">
        <v>360</v>
      </c>
      <c r="B65" s="375"/>
      <c r="C65" s="375"/>
      <c r="D65" s="375"/>
      <c r="E65" s="375"/>
      <c r="F65" s="375"/>
      <c r="G65" s="370"/>
      <c r="H65" s="370"/>
      <c r="I65" s="372"/>
      <c r="J65" s="373"/>
    </row>
    <row r="66" spans="1:9" ht="13.5" thickBot="1">
      <c r="A66" s="12"/>
      <c r="B66" s="13"/>
      <c r="C66" s="13"/>
      <c r="D66" s="13"/>
      <c r="E66" s="13"/>
      <c r="F66" s="13"/>
      <c r="G66" s="13"/>
      <c r="H66" s="13"/>
      <c r="I66" s="14"/>
    </row>
    <row r="67" spans="1:9" ht="15">
      <c r="A67" s="339" t="s">
        <v>361</v>
      </c>
      <c r="B67" s="340"/>
      <c r="C67" s="340"/>
      <c r="D67" s="340"/>
      <c r="E67" s="340"/>
      <c r="F67" s="340"/>
      <c r="G67" s="340"/>
      <c r="H67" s="340"/>
      <c r="I67" s="341"/>
    </row>
    <row r="68" spans="1:9" ht="12.75">
      <c r="A68" s="337" t="s">
        <v>362</v>
      </c>
      <c r="B68" s="338"/>
      <c r="C68" s="338"/>
      <c r="D68" s="338"/>
      <c r="E68" s="338"/>
      <c r="F68" s="338"/>
      <c r="G68" s="222" t="s">
        <v>363</v>
      </c>
      <c r="H68" s="222" t="s">
        <v>14</v>
      </c>
      <c r="I68" s="376">
        <f>MIN(((I11-I15)/I53)^0.35,1)</f>
        <v>0.8782443950502955</v>
      </c>
    </row>
    <row r="69" spans="1:9" ht="12.75">
      <c r="A69" s="337" t="s">
        <v>364</v>
      </c>
      <c r="B69" s="338"/>
      <c r="C69" s="338"/>
      <c r="D69" s="338"/>
      <c r="E69" s="338"/>
      <c r="F69" s="338"/>
      <c r="G69" s="222"/>
      <c r="H69" s="222"/>
      <c r="I69" s="376"/>
    </row>
    <row r="70" spans="1:9" ht="12.75">
      <c r="A70" s="363"/>
      <c r="B70" s="364"/>
      <c r="C70" s="364"/>
      <c r="D70" s="364"/>
      <c r="E70" s="364"/>
      <c r="F70" s="364"/>
      <c r="G70" s="59"/>
      <c r="H70" s="59"/>
      <c r="I70" s="60"/>
    </row>
    <row r="71" spans="1:9" ht="12.75">
      <c r="A71" s="337" t="s">
        <v>365</v>
      </c>
      <c r="B71" s="338"/>
      <c r="C71" s="338"/>
      <c r="D71" s="338"/>
      <c r="E71" s="338"/>
      <c r="F71" s="338"/>
      <c r="G71" s="61" t="s">
        <v>366</v>
      </c>
      <c r="H71" s="61" t="s">
        <v>14</v>
      </c>
      <c r="I71" s="62">
        <f>I68</f>
        <v>0.8782443950502955</v>
      </c>
    </row>
    <row r="72" spans="1:9" ht="15">
      <c r="A72" s="337"/>
      <c r="B72" s="338"/>
      <c r="C72" s="338"/>
      <c r="D72" s="338"/>
      <c r="E72" s="338"/>
      <c r="F72" s="338"/>
      <c r="G72" s="63"/>
      <c r="H72" s="63"/>
      <c r="I72" s="64"/>
    </row>
    <row r="73" spans="1:10" ht="12.75">
      <c r="A73" s="337" t="s">
        <v>367</v>
      </c>
      <c r="B73" s="338"/>
      <c r="C73" s="338"/>
      <c r="D73" s="338"/>
      <c r="E73" s="338"/>
      <c r="F73" s="338"/>
      <c r="G73" s="8" t="s">
        <v>368</v>
      </c>
      <c r="H73" s="8" t="s">
        <v>11</v>
      </c>
      <c r="I73" s="53">
        <f>I71*SQRT(I9*I53)</f>
        <v>147.70431104975978</v>
      </c>
      <c r="J73" s="65"/>
    </row>
    <row r="74" spans="1:10" ht="12.75">
      <c r="A74" s="337" t="s">
        <v>369</v>
      </c>
      <c r="B74" s="338"/>
      <c r="C74" s="338"/>
      <c r="D74" s="338"/>
      <c r="E74" s="338"/>
      <c r="F74" s="338"/>
      <c r="G74" s="8" t="s">
        <v>370</v>
      </c>
      <c r="H74" s="8" t="s">
        <v>11</v>
      </c>
      <c r="I74" s="50">
        <f>I20</f>
        <v>133.0171102917418</v>
      </c>
      <c r="J74" s="66"/>
    </row>
    <row r="75" spans="1:9" ht="12.75">
      <c r="A75" s="337"/>
      <c r="B75" s="338"/>
      <c r="C75" s="338"/>
      <c r="D75" s="338"/>
      <c r="E75" s="338"/>
      <c r="F75" s="338"/>
      <c r="G75" s="13"/>
      <c r="H75" s="13"/>
      <c r="I75" s="14"/>
    </row>
    <row r="76" spans="1:9" ht="15">
      <c r="A76" s="377" t="s">
        <v>371</v>
      </c>
      <c r="B76" s="378"/>
      <c r="C76" s="378"/>
      <c r="D76" s="378"/>
      <c r="E76" s="378"/>
      <c r="F76" s="378"/>
      <c r="G76" s="344" t="s">
        <v>372</v>
      </c>
      <c r="H76" s="344" t="s">
        <v>11</v>
      </c>
      <c r="I76" s="345">
        <f>MIN(I73:I74)+(I11-I15)</f>
        <v>199.8171102917418</v>
      </c>
    </row>
    <row r="77" spans="1:9" ht="15.75" thickBot="1">
      <c r="A77" s="381" t="s">
        <v>373</v>
      </c>
      <c r="B77" s="382"/>
      <c r="C77" s="382"/>
      <c r="D77" s="382"/>
      <c r="E77" s="382"/>
      <c r="F77" s="382"/>
      <c r="G77" s="379"/>
      <c r="H77" s="379"/>
      <c r="I77" s="380"/>
    </row>
    <row r="78" spans="1:9" ht="12.75">
      <c r="A78" s="12"/>
      <c r="B78" s="13"/>
      <c r="C78" s="13"/>
      <c r="D78" s="13"/>
      <c r="E78" s="13"/>
      <c r="F78" s="13"/>
      <c r="G78" s="13"/>
      <c r="H78" s="13"/>
      <c r="I78" s="14"/>
    </row>
    <row r="79" spans="1:10" ht="15">
      <c r="A79" s="337" t="s">
        <v>374</v>
      </c>
      <c r="B79" s="338"/>
      <c r="C79" s="338"/>
      <c r="D79" s="338"/>
      <c r="E79" s="338"/>
      <c r="F79" s="338"/>
      <c r="G79" s="67" t="s">
        <v>72</v>
      </c>
      <c r="H79" s="67" t="s">
        <v>14</v>
      </c>
      <c r="I79" s="53">
        <f>MIN(((2*I9+I53))/SQRT(((I7+2*I15)+(I11-I15))*(I11-I15)),12)</f>
        <v>1.3943048736231995</v>
      </c>
      <c r="J79" s="65"/>
    </row>
    <row r="80" spans="1:9" ht="13.5" thickBot="1">
      <c r="A80" s="12"/>
      <c r="B80" s="13"/>
      <c r="C80" s="13"/>
      <c r="D80" s="13"/>
      <c r="E80" s="13"/>
      <c r="F80" s="13"/>
      <c r="G80" s="13"/>
      <c r="H80" s="13"/>
      <c r="I80" s="14"/>
    </row>
    <row r="81" spans="1:9" ht="15">
      <c r="A81" s="339" t="s">
        <v>279</v>
      </c>
      <c r="B81" s="340"/>
      <c r="C81" s="340"/>
      <c r="D81" s="340"/>
      <c r="E81" s="340"/>
      <c r="F81" s="340"/>
      <c r="G81" s="340"/>
      <c r="H81" s="340"/>
      <c r="I81" s="341"/>
    </row>
    <row r="82" spans="1:9" ht="12.75">
      <c r="A82" s="383" t="s">
        <v>375</v>
      </c>
      <c r="B82" s="384"/>
      <c r="C82" s="384"/>
      <c r="D82" s="384"/>
      <c r="E82" s="384"/>
      <c r="F82" s="384"/>
      <c r="G82" s="385" t="s">
        <v>376</v>
      </c>
      <c r="H82" s="385" t="s">
        <v>377</v>
      </c>
      <c r="I82" s="386">
        <f>((I11-I15)*I64*MAX((I79/5)^0.85,1))/100</f>
        <v>228.60221005545853</v>
      </c>
    </row>
    <row r="83" spans="1:9" ht="12.75">
      <c r="A83" s="383" t="s">
        <v>378</v>
      </c>
      <c r="B83" s="384"/>
      <c r="C83" s="384"/>
      <c r="D83" s="384"/>
      <c r="E83" s="384"/>
      <c r="F83" s="384"/>
      <c r="G83" s="385"/>
      <c r="H83" s="385"/>
      <c r="I83" s="386"/>
    </row>
    <row r="84" spans="1:9" ht="12.75">
      <c r="A84" s="387"/>
      <c r="B84" s="385"/>
      <c r="C84" s="385"/>
      <c r="D84" s="385"/>
      <c r="E84" s="385"/>
      <c r="F84" s="385"/>
      <c r="G84" s="385"/>
      <c r="H84" s="385"/>
      <c r="I84" s="386"/>
    </row>
    <row r="85" spans="1:10" ht="17.25">
      <c r="A85" s="383" t="s">
        <v>379</v>
      </c>
      <c r="B85" s="384"/>
      <c r="C85" s="384"/>
      <c r="D85" s="384"/>
      <c r="E85" s="384"/>
      <c r="F85" s="384"/>
      <c r="G85" s="68" t="s">
        <v>380</v>
      </c>
      <c r="H85" s="31" t="s">
        <v>381</v>
      </c>
      <c r="I85" s="69">
        <f>(I53*I76)/100</f>
        <v>193.42296276240606</v>
      </c>
      <c r="J85" s="65"/>
    </row>
    <row r="86" spans="1:10" ht="17.25">
      <c r="A86" s="383" t="s">
        <v>382</v>
      </c>
      <c r="B86" s="384"/>
      <c r="C86" s="384"/>
      <c r="D86" s="384"/>
      <c r="E86" s="384"/>
      <c r="F86" s="384"/>
      <c r="G86" s="68" t="s">
        <v>383</v>
      </c>
      <c r="H86" s="31" t="s">
        <v>381</v>
      </c>
      <c r="I86" s="69">
        <f>(I53*I14)/100</f>
        <v>24.2</v>
      </c>
      <c r="J86" s="65"/>
    </row>
    <row r="87" spans="1:10" ht="17.25">
      <c r="A87" s="383" t="s">
        <v>384</v>
      </c>
      <c r="B87" s="384"/>
      <c r="C87" s="384"/>
      <c r="D87" s="384"/>
      <c r="E87" s="384"/>
      <c r="F87" s="384"/>
      <c r="G87" s="68" t="s">
        <v>385</v>
      </c>
      <c r="H87" s="31" t="s">
        <v>386</v>
      </c>
      <c r="I87" s="36">
        <f>(I53*(I76-I14)-(((I76-I14)^2)/2))/100</f>
        <v>16.41785250863095</v>
      </c>
      <c r="J87" s="65"/>
    </row>
    <row r="88" spans="1:9" ht="17.25">
      <c r="A88" s="383" t="s">
        <v>387</v>
      </c>
      <c r="B88" s="384"/>
      <c r="C88" s="384"/>
      <c r="D88" s="384"/>
      <c r="E88" s="384"/>
      <c r="F88" s="384"/>
      <c r="G88" s="68" t="s">
        <v>388</v>
      </c>
      <c r="H88" s="31" t="s">
        <v>389</v>
      </c>
      <c r="I88" s="70">
        <f>((I76-I14)*I56+I19^2/2)/100</f>
        <v>57.67096422621649</v>
      </c>
    </row>
    <row r="89" spans="1:9" ht="17.25">
      <c r="A89" s="383" t="s">
        <v>390</v>
      </c>
      <c r="B89" s="384"/>
      <c r="C89" s="384"/>
      <c r="D89" s="384"/>
      <c r="E89" s="384"/>
      <c r="F89" s="384"/>
      <c r="G89" s="68" t="s">
        <v>380</v>
      </c>
      <c r="H89" s="31" t="s">
        <v>381</v>
      </c>
      <c r="I89" s="70">
        <f>IF(I14&gt;I76,I85,(IF((I14+I19)&gt;I76,I86+I87,I86+I88)))</f>
        <v>81.87096422621649</v>
      </c>
    </row>
    <row r="90" spans="1:9" ht="12.75">
      <c r="A90" s="387"/>
      <c r="B90" s="385"/>
      <c r="C90" s="385"/>
      <c r="D90" s="385"/>
      <c r="E90" s="385"/>
      <c r="F90" s="385"/>
      <c r="G90" s="385"/>
      <c r="H90" s="385"/>
      <c r="I90" s="386"/>
    </row>
    <row r="91" spans="1:12" ht="17.25">
      <c r="A91" s="383" t="s">
        <v>391</v>
      </c>
      <c r="B91" s="384"/>
      <c r="C91" s="384"/>
      <c r="D91" s="384"/>
      <c r="E91" s="384"/>
      <c r="F91" s="384"/>
      <c r="G91" s="68" t="s">
        <v>392</v>
      </c>
      <c r="H91" s="31" t="s">
        <v>381</v>
      </c>
      <c r="I91" s="69">
        <f>(0.5*I18^2)/100</f>
        <v>1.28</v>
      </c>
      <c r="K91" s="58"/>
      <c r="L91" s="58"/>
    </row>
    <row r="92" spans="1:9" ht="12.75">
      <c r="A92" s="387"/>
      <c r="B92" s="385"/>
      <c r="C92" s="385"/>
      <c r="D92" s="385"/>
      <c r="E92" s="385"/>
      <c r="F92" s="385"/>
      <c r="G92" s="385"/>
      <c r="H92" s="385"/>
      <c r="I92" s="386"/>
    </row>
    <row r="93" spans="1:9" ht="17.25">
      <c r="A93" s="388" t="s">
        <v>393</v>
      </c>
      <c r="B93" s="389"/>
      <c r="C93" s="389"/>
      <c r="D93" s="389"/>
      <c r="E93" s="389"/>
      <c r="F93" s="389"/>
      <c r="G93" s="71" t="s">
        <v>394</v>
      </c>
      <c r="H93" s="72" t="s">
        <v>395</v>
      </c>
      <c r="I93" s="73">
        <f>SUM(I82+I50*I89+I91)</f>
        <v>311.753174281675</v>
      </c>
    </row>
    <row r="94" spans="1:9" ht="12.75">
      <c r="A94" s="12"/>
      <c r="B94" s="13"/>
      <c r="C94" s="13"/>
      <c r="D94" s="13"/>
      <c r="E94" s="13"/>
      <c r="F94" s="13"/>
      <c r="G94" s="13"/>
      <c r="H94" s="13"/>
      <c r="I94" s="14"/>
    </row>
    <row r="95" spans="1:9" ht="15">
      <c r="A95" s="390" t="s">
        <v>396</v>
      </c>
      <c r="B95" s="391"/>
      <c r="C95" s="391"/>
      <c r="D95" s="391"/>
      <c r="E95" s="391"/>
      <c r="F95" s="391"/>
      <c r="G95" s="391"/>
      <c r="H95" s="391"/>
      <c r="I95" s="392"/>
    </row>
    <row r="96" spans="1:9" ht="12.75">
      <c r="A96" s="383" t="s">
        <v>397</v>
      </c>
      <c r="B96" s="384"/>
      <c r="C96" s="384"/>
      <c r="D96" s="384"/>
      <c r="E96" s="384"/>
      <c r="F96" s="384"/>
      <c r="G96" s="218" t="s">
        <v>398</v>
      </c>
      <c r="H96" s="218" t="s">
        <v>11</v>
      </c>
      <c r="I96" s="220">
        <f>I53/LOG((1+I53/I9),2.7182)</f>
        <v>338.2847570089488</v>
      </c>
    </row>
    <row r="97" spans="1:9" ht="12.75">
      <c r="A97" s="383" t="s">
        <v>399</v>
      </c>
      <c r="B97" s="384"/>
      <c r="C97" s="384"/>
      <c r="D97" s="384"/>
      <c r="E97" s="384"/>
      <c r="F97" s="384"/>
      <c r="G97" s="218"/>
      <c r="H97" s="218"/>
      <c r="I97" s="220"/>
    </row>
    <row r="98" spans="1:9" ht="12.75">
      <c r="A98" s="393"/>
      <c r="B98" s="394"/>
      <c r="C98" s="394"/>
      <c r="D98" s="394"/>
      <c r="E98" s="394"/>
      <c r="F98" s="394"/>
      <c r="G98" s="394"/>
      <c r="H98" s="394"/>
      <c r="I98" s="395"/>
    </row>
    <row r="99" spans="1:9" ht="12.75">
      <c r="A99" s="383" t="s">
        <v>400</v>
      </c>
      <c r="B99" s="384"/>
      <c r="C99" s="384"/>
      <c r="D99" s="384"/>
      <c r="E99" s="384"/>
      <c r="F99" s="384"/>
      <c r="G99" s="218" t="s">
        <v>401</v>
      </c>
      <c r="H99" s="218" t="s">
        <v>11</v>
      </c>
      <c r="I99" s="220">
        <f>(I11-I15)/LOG((1+(I11-I15)/I61),2.7182)</f>
        <v>1786.3380693897434</v>
      </c>
    </row>
    <row r="100" spans="1:9" ht="12.75">
      <c r="A100" s="383" t="s">
        <v>402</v>
      </c>
      <c r="B100" s="384"/>
      <c r="C100" s="384"/>
      <c r="D100" s="384"/>
      <c r="E100" s="384"/>
      <c r="F100" s="384"/>
      <c r="G100" s="218"/>
      <c r="H100" s="218"/>
      <c r="I100" s="220"/>
    </row>
    <row r="101" spans="1:9" ht="12.75">
      <c r="A101" s="393"/>
      <c r="B101" s="394"/>
      <c r="C101" s="394"/>
      <c r="D101" s="394"/>
      <c r="E101" s="394"/>
      <c r="F101" s="394"/>
      <c r="G101" s="394"/>
      <c r="H101" s="394"/>
      <c r="I101" s="395"/>
    </row>
    <row r="102" spans="1:9" ht="12.75">
      <c r="A102" s="383" t="s">
        <v>403</v>
      </c>
      <c r="B102" s="384"/>
      <c r="C102" s="384"/>
      <c r="D102" s="384"/>
      <c r="E102" s="384"/>
      <c r="F102" s="384"/>
      <c r="G102" s="218" t="s">
        <v>404</v>
      </c>
      <c r="H102" s="218" t="s">
        <v>306</v>
      </c>
      <c r="I102" s="220">
        <f>1.5*I16*I6</f>
        <v>2109.21</v>
      </c>
    </row>
    <row r="103" spans="1:9" ht="12.75">
      <c r="A103" s="383" t="s">
        <v>405</v>
      </c>
      <c r="B103" s="384"/>
      <c r="C103" s="384"/>
      <c r="D103" s="384"/>
      <c r="E103" s="384"/>
      <c r="F103" s="384"/>
      <c r="G103" s="218"/>
      <c r="H103" s="218"/>
      <c r="I103" s="220"/>
    </row>
    <row r="104" spans="1:9" ht="12.75">
      <c r="A104" s="393"/>
      <c r="B104" s="394"/>
      <c r="C104" s="394"/>
      <c r="D104" s="394"/>
      <c r="E104" s="394"/>
      <c r="F104" s="394"/>
      <c r="G104" s="394"/>
      <c r="H104" s="394"/>
      <c r="I104" s="395"/>
    </row>
    <row r="105" spans="1:9" ht="12.75">
      <c r="A105" s="383" t="s">
        <v>406</v>
      </c>
      <c r="B105" s="384"/>
      <c r="C105" s="384"/>
      <c r="D105" s="384"/>
      <c r="E105" s="384"/>
      <c r="F105" s="384"/>
      <c r="G105" s="218" t="s">
        <v>407</v>
      </c>
      <c r="H105" s="218" t="s">
        <v>98</v>
      </c>
      <c r="I105" s="220">
        <f>I5*I96*I76/100</f>
        <v>3786.6765273232695</v>
      </c>
    </row>
    <row r="106" spans="1:9" ht="12.75">
      <c r="A106" s="383" t="s">
        <v>408</v>
      </c>
      <c r="B106" s="384"/>
      <c r="C106" s="384"/>
      <c r="D106" s="384"/>
      <c r="E106" s="384"/>
      <c r="F106" s="384"/>
      <c r="G106" s="218"/>
      <c r="H106" s="218"/>
      <c r="I106" s="220"/>
    </row>
    <row r="107" spans="1:9" ht="12.75">
      <c r="A107" s="393"/>
      <c r="B107" s="394"/>
      <c r="C107" s="394"/>
      <c r="D107" s="394"/>
      <c r="E107" s="394"/>
      <c r="F107" s="394"/>
      <c r="G107" s="394"/>
      <c r="H107" s="394"/>
      <c r="I107" s="395"/>
    </row>
    <row r="108" spans="1:9" ht="12.75">
      <c r="A108" s="383" t="s">
        <v>409</v>
      </c>
      <c r="B108" s="384"/>
      <c r="C108" s="384"/>
      <c r="D108" s="384"/>
      <c r="E108" s="384"/>
      <c r="F108" s="384"/>
      <c r="G108" s="218" t="s">
        <v>410</v>
      </c>
      <c r="H108" s="218" t="s">
        <v>98</v>
      </c>
      <c r="I108" s="220">
        <f>(I5*I99*(I64+I53))/200</f>
        <v>21966.454106413134</v>
      </c>
    </row>
    <row r="109" spans="1:9" ht="12.75">
      <c r="A109" s="383" t="s">
        <v>411</v>
      </c>
      <c r="B109" s="384"/>
      <c r="C109" s="384"/>
      <c r="D109" s="384"/>
      <c r="E109" s="384"/>
      <c r="F109" s="384"/>
      <c r="G109" s="218"/>
      <c r="H109" s="218"/>
      <c r="I109" s="220"/>
    </row>
    <row r="110" spans="1:9" ht="12.75">
      <c r="A110" s="393"/>
      <c r="B110" s="394"/>
      <c r="C110" s="394"/>
      <c r="D110" s="394"/>
      <c r="E110" s="394"/>
      <c r="F110" s="394"/>
      <c r="G110" s="394"/>
      <c r="H110" s="394"/>
      <c r="I110" s="395"/>
    </row>
    <row r="111" spans="1:9" ht="12.75">
      <c r="A111" s="383" t="s">
        <v>412</v>
      </c>
      <c r="B111" s="384"/>
      <c r="C111" s="384"/>
      <c r="D111" s="384"/>
      <c r="E111" s="384"/>
      <c r="F111" s="384"/>
      <c r="G111" s="218" t="s">
        <v>413</v>
      </c>
      <c r="H111" s="218" t="s">
        <v>98</v>
      </c>
      <c r="I111" s="220">
        <f>(I5*I99*I9)/200</f>
        <v>14620.323228357882</v>
      </c>
    </row>
    <row r="112" spans="1:9" ht="12.75">
      <c r="A112" s="383" t="s">
        <v>414</v>
      </c>
      <c r="B112" s="384"/>
      <c r="C112" s="384"/>
      <c r="D112" s="384"/>
      <c r="E112" s="384"/>
      <c r="F112" s="384"/>
      <c r="G112" s="218"/>
      <c r="H112" s="218"/>
      <c r="I112" s="220"/>
    </row>
    <row r="113" spans="1:9" ht="12.75">
      <c r="A113" s="393"/>
      <c r="B113" s="394"/>
      <c r="C113" s="394"/>
      <c r="D113" s="394"/>
      <c r="E113" s="394"/>
      <c r="F113" s="394"/>
      <c r="G113" s="394"/>
      <c r="H113" s="394"/>
      <c r="I113" s="395"/>
    </row>
    <row r="114" spans="1:9" ht="12.75">
      <c r="A114" s="383" t="s">
        <v>415</v>
      </c>
      <c r="B114" s="384"/>
      <c r="C114" s="384"/>
      <c r="D114" s="384"/>
      <c r="E114" s="384"/>
      <c r="F114" s="384"/>
      <c r="G114" s="218" t="s">
        <v>416</v>
      </c>
      <c r="H114" s="218" t="s">
        <v>377</v>
      </c>
      <c r="I114" s="220">
        <f>SUM(I105:I112)/I5</f>
        <v>7206.971414154638</v>
      </c>
    </row>
    <row r="115" spans="1:9" ht="12.75">
      <c r="A115" s="383" t="s">
        <v>417</v>
      </c>
      <c r="B115" s="384"/>
      <c r="C115" s="384"/>
      <c r="D115" s="384"/>
      <c r="E115" s="384"/>
      <c r="F115" s="384"/>
      <c r="G115" s="218"/>
      <c r="H115" s="218"/>
      <c r="I115" s="220"/>
    </row>
    <row r="116" spans="1:9" ht="12.75">
      <c r="A116" s="393"/>
      <c r="B116" s="394"/>
      <c r="C116" s="394"/>
      <c r="D116" s="394"/>
      <c r="E116" s="394"/>
      <c r="F116" s="394"/>
      <c r="G116" s="394"/>
      <c r="H116" s="394"/>
      <c r="I116" s="395"/>
    </row>
    <row r="117" spans="1:9" ht="12.75">
      <c r="A117" s="383" t="s">
        <v>418</v>
      </c>
      <c r="B117" s="384"/>
      <c r="C117" s="384"/>
      <c r="D117" s="384"/>
      <c r="E117" s="384"/>
      <c r="F117" s="384"/>
      <c r="G117" s="218" t="s">
        <v>419</v>
      </c>
      <c r="H117" s="218" t="s">
        <v>306</v>
      </c>
      <c r="I117" s="220">
        <f>I102/(2*I114/I93-I99/(2*(I11-I15)))</f>
        <v>64.1793332347784</v>
      </c>
    </row>
    <row r="118" spans="1:9" ht="12.75">
      <c r="A118" s="383" t="s">
        <v>420</v>
      </c>
      <c r="B118" s="384"/>
      <c r="C118" s="384"/>
      <c r="D118" s="384"/>
      <c r="E118" s="384"/>
      <c r="F118" s="384"/>
      <c r="G118" s="218"/>
      <c r="H118" s="218"/>
      <c r="I118" s="220"/>
    </row>
    <row r="119" spans="1:9" ht="12.75">
      <c r="A119" s="393"/>
      <c r="B119" s="394"/>
      <c r="C119" s="394"/>
      <c r="D119" s="394"/>
      <c r="E119" s="394"/>
      <c r="F119" s="394"/>
      <c r="G119" s="394"/>
      <c r="H119" s="394"/>
      <c r="I119" s="395"/>
    </row>
    <row r="120" spans="1:9" ht="12.75">
      <c r="A120" s="383" t="s">
        <v>418</v>
      </c>
      <c r="B120" s="384"/>
      <c r="C120" s="384"/>
      <c r="D120" s="384"/>
      <c r="E120" s="384"/>
      <c r="F120" s="384"/>
      <c r="G120" s="218" t="s">
        <v>419</v>
      </c>
      <c r="H120" s="218" t="s">
        <v>306</v>
      </c>
      <c r="I120" s="220">
        <f>2*I16*((I11-I15)/I99)</f>
        <v>105.16503411035609</v>
      </c>
    </row>
    <row r="121" spans="1:9" ht="12.75">
      <c r="A121" s="383" t="s">
        <v>421</v>
      </c>
      <c r="B121" s="384"/>
      <c r="C121" s="384"/>
      <c r="D121" s="384"/>
      <c r="E121" s="384"/>
      <c r="F121" s="384"/>
      <c r="G121" s="218"/>
      <c r="H121" s="218"/>
      <c r="I121" s="220"/>
    </row>
    <row r="122" spans="1:12" ht="12.75">
      <c r="A122" s="393"/>
      <c r="B122" s="394"/>
      <c r="C122" s="394"/>
      <c r="D122" s="394"/>
      <c r="E122" s="394"/>
      <c r="F122" s="394"/>
      <c r="G122" s="394"/>
      <c r="H122" s="394"/>
      <c r="I122" s="395"/>
      <c r="L122" s="58"/>
    </row>
    <row r="123" spans="1:9" ht="15">
      <c r="A123" s="388" t="s">
        <v>422</v>
      </c>
      <c r="B123" s="389"/>
      <c r="C123" s="389"/>
      <c r="D123" s="389"/>
      <c r="E123" s="389"/>
      <c r="F123" s="389"/>
      <c r="G123" s="396" t="s">
        <v>419</v>
      </c>
      <c r="H123" s="396" t="s">
        <v>306</v>
      </c>
      <c r="I123" s="397">
        <f>MIN(I117:I121)</f>
        <v>64.1793332347784</v>
      </c>
    </row>
    <row r="124" spans="1:9" ht="15">
      <c r="A124" s="388" t="s">
        <v>423</v>
      </c>
      <c r="B124" s="389"/>
      <c r="C124" s="389"/>
      <c r="D124" s="389"/>
      <c r="E124" s="389"/>
      <c r="F124" s="389"/>
      <c r="G124" s="396"/>
      <c r="H124" s="396"/>
      <c r="I124" s="397"/>
    </row>
    <row r="125" spans="1:9" ht="12.75">
      <c r="A125" s="393"/>
      <c r="B125" s="394"/>
      <c r="C125" s="394"/>
      <c r="D125" s="394"/>
      <c r="E125" s="394"/>
      <c r="F125" s="394"/>
      <c r="G125" s="394"/>
      <c r="H125" s="394"/>
      <c r="I125" s="395"/>
    </row>
    <row r="126" spans="1:9" ht="17.25">
      <c r="A126" s="398" t="str">
        <f>IF(I5&gt;I123,"NOZZLE FAIL DUE TO BECAUSE","NOZZLE PASS")</f>
        <v>NOZZLE PASS</v>
      </c>
      <c r="B126" s="399"/>
      <c r="C126" s="399"/>
      <c r="D126" s="399"/>
      <c r="E126" s="399"/>
      <c r="F126" s="399"/>
      <c r="G126" s="399"/>
      <c r="H126" s="399"/>
      <c r="I126" s="400"/>
    </row>
    <row r="127" spans="1:9" ht="18" thickBot="1">
      <c r="A127" s="401">
        <f>IF(I117&lt;I5,"AREA OF REINFORCEMENT IS LOW",(IF(I120&lt;I5,"SHELL THICKNESS IS LESS","")))</f>
      </c>
      <c r="B127" s="402"/>
      <c r="C127" s="402"/>
      <c r="D127" s="402"/>
      <c r="E127" s="402"/>
      <c r="F127" s="402"/>
      <c r="G127" s="402"/>
      <c r="H127" s="402"/>
      <c r="I127" s="403"/>
    </row>
    <row r="128" spans="1:9" ht="13.5" thickBot="1">
      <c r="A128" s="337"/>
      <c r="B128" s="338"/>
      <c r="C128" s="338"/>
      <c r="D128" s="338"/>
      <c r="E128" s="338"/>
      <c r="F128" s="338"/>
      <c r="G128" s="13"/>
      <c r="H128" s="13"/>
      <c r="I128" s="14"/>
    </row>
    <row r="129" spans="1:9" ht="15">
      <c r="A129" s="404" t="s">
        <v>292</v>
      </c>
      <c r="B129" s="405"/>
      <c r="C129" s="405"/>
      <c r="D129" s="405"/>
      <c r="E129" s="405"/>
      <c r="F129" s="405"/>
      <c r="G129" s="405"/>
      <c r="H129" s="405"/>
      <c r="I129" s="406"/>
    </row>
    <row r="130" spans="1:9" ht="12.75">
      <c r="A130" s="383" t="s">
        <v>424</v>
      </c>
      <c r="B130" s="384"/>
      <c r="C130" s="384"/>
      <c r="D130" s="384"/>
      <c r="E130" s="384"/>
      <c r="F130" s="384"/>
      <c r="G130" s="407" t="s">
        <v>425</v>
      </c>
      <c r="H130" s="218" t="s">
        <v>306</v>
      </c>
      <c r="I130" s="220">
        <f>SUM(A105:I112)/I93</f>
        <v>129.50454780491214</v>
      </c>
    </row>
    <row r="131" spans="1:9" ht="12.75">
      <c r="A131" s="383" t="s">
        <v>426</v>
      </c>
      <c r="B131" s="384"/>
      <c r="C131" s="384"/>
      <c r="D131" s="384"/>
      <c r="E131" s="384"/>
      <c r="F131" s="384"/>
      <c r="G131" s="218"/>
      <c r="H131" s="218"/>
      <c r="I131" s="220"/>
    </row>
    <row r="132" spans="1:9" ht="12.75">
      <c r="A132" s="393"/>
      <c r="B132" s="394"/>
      <c r="C132" s="394"/>
      <c r="D132" s="394"/>
      <c r="E132" s="394"/>
      <c r="F132" s="394"/>
      <c r="G132" s="394"/>
      <c r="H132" s="394"/>
      <c r="I132" s="395"/>
    </row>
    <row r="133" spans="1:9" ht="12.75">
      <c r="A133" s="383" t="s">
        <v>427</v>
      </c>
      <c r="B133" s="384"/>
      <c r="C133" s="384"/>
      <c r="D133" s="384"/>
      <c r="E133" s="384"/>
      <c r="F133" s="384"/>
      <c r="G133" s="407" t="s">
        <v>428</v>
      </c>
      <c r="H133" s="218" t="s">
        <v>306</v>
      </c>
      <c r="I133" s="220">
        <f>I5*I99/(2*(I11-I15))</f>
        <v>74.90318761018969</v>
      </c>
    </row>
    <row r="134" spans="1:9" ht="12.75">
      <c r="A134" s="383" t="s">
        <v>429</v>
      </c>
      <c r="B134" s="384"/>
      <c r="C134" s="384"/>
      <c r="D134" s="384"/>
      <c r="E134" s="384"/>
      <c r="F134" s="384"/>
      <c r="G134" s="218"/>
      <c r="H134" s="218"/>
      <c r="I134" s="220"/>
    </row>
    <row r="135" spans="1:9" ht="12.75">
      <c r="A135" s="393"/>
      <c r="B135" s="394"/>
      <c r="C135" s="394"/>
      <c r="D135" s="394"/>
      <c r="E135" s="394"/>
      <c r="F135" s="394"/>
      <c r="G135" s="394"/>
      <c r="H135" s="394"/>
      <c r="I135" s="395"/>
    </row>
    <row r="136" spans="1:9" ht="12.75">
      <c r="A136" s="383" t="s">
        <v>430</v>
      </c>
      <c r="B136" s="384"/>
      <c r="C136" s="384"/>
      <c r="D136" s="384"/>
      <c r="E136" s="384"/>
      <c r="F136" s="384"/>
      <c r="G136" s="218" t="s">
        <v>431</v>
      </c>
      <c r="H136" s="218" t="s">
        <v>306</v>
      </c>
      <c r="I136" s="220">
        <f>MAX(2*I130-I133,I133)</f>
        <v>184.10590799963458</v>
      </c>
    </row>
    <row r="137" spans="1:9" ht="12.75">
      <c r="A137" s="383" t="s">
        <v>432</v>
      </c>
      <c r="B137" s="384"/>
      <c r="C137" s="384"/>
      <c r="D137" s="384"/>
      <c r="E137" s="384"/>
      <c r="F137" s="384"/>
      <c r="G137" s="218"/>
      <c r="H137" s="218"/>
      <c r="I137" s="220"/>
    </row>
    <row r="138" spans="1:9" ht="12.75">
      <c r="A138" s="393"/>
      <c r="B138" s="394"/>
      <c r="C138" s="394"/>
      <c r="D138" s="394"/>
      <c r="E138" s="394"/>
      <c r="F138" s="394"/>
      <c r="G138" s="394"/>
      <c r="H138" s="394"/>
      <c r="I138" s="395"/>
    </row>
    <row r="139" spans="1:9" ht="12.75">
      <c r="A139" s="383" t="s">
        <v>433</v>
      </c>
      <c r="B139" s="384"/>
      <c r="C139" s="384"/>
      <c r="D139" s="384"/>
      <c r="E139" s="384"/>
      <c r="F139" s="384"/>
      <c r="G139" s="384"/>
      <c r="H139" s="384"/>
      <c r="I139" s="408"/>
    </row>
    <row r="140" spans="1:9" ht="12.75">
      <c r="A140" s="383" t="s">
        <v>430</v>
      </c>
      <c r="B140" s="384"/>
      <c r="C140" s="384"/>
      <c r="D140" s="384"/>
      <c r="E140" s="384"/>
      <c r="F140" s="384"/>
      <c r="G140" s="74" t="s">
        <v>431</v>
      </c>
      <c r="H140" s="74" t="s">
        <v>306</v>
      </c>
      <c r="I140" s="75">
        <f>I136</f>
        <v>184.10590799963458</v>
      </c>
    </row>
    <row r="141" spans="1:9" ht="12.75">
      <c r="A141" s="383" t="s">
        <v>434</v>
      </c>
      <c r="B141" s="384"/>
      <c r="C141" s="384"/>
      <c r="D141" s="384"/>
      <c r="E141" s="384"/>
      <c r="F141" s="384"/>
      <c r="G141" s="74" t="s">
        <v>404</v>
      </c>
      <c r="H141" s="74" t="s">
        <v>306</v>
      </c>
      <c r="I141" s="75">
        <f>I102</f>
        <v>2109.21</v>
      </c>
    </row>
    <row r="142" spans="1:10" ht="18" thickBot="1">
      <c r="A142" s="409" t="str">
        <f>IF(I140&gt;I141,"STRESSES EXCEEDS ALLOWABLE LIMIT","STRESSES ARE UNDER PERMISIBLE LIMIT")</f>
        <v>STRESSES ARE UNDER PERMISIBLE LIMIT</v>
      </c>
      <c r="B142" s="410"/>
      <c r="C142" s="410"/>
      <c r="D142" s="410"/>
      <c r="E142" s="410"/>
      <c r="F142" s="410"/>
      <c r="G142" s="410"/>
      <c r="H142" s="410"/>
      <c r="I142" s="411"/>
      <c r="J142">
        <f>I140/I141</f>
        <v>0.08728666562344886</v>
      </c>
    </row>
    <row r="143" spans="1:9" ht="13.5" thickBot="1">
      <c r="A143" s="337"/>
      <c r="B143" s="338"/>
      <c r="C143" s="338"/>
      <c r="D143" s="338"/>
      <c r="E143" s="338"/>
      <c r="F143" s="338"/>
      <c r="G143" s="13"/>
      <c r="H143" s="13"/>
      <c r="I143" s="14"/>
    </row>
    <row r="144" spans="1:9" ht="15.75" thickBot="1">
      <c r="A144" s="412" t="s">
        <v>435</v>
      </c>
      <c r="B144" s="413"/>
      <c r="C144" s="413"/>
      <c r="D144" s="413"/>
      <c r="E144" s="413"/>
      <c r="F144" s="413"/>
      <c r="G144" s="413"/>
      <c r="H144" s="413"/>
      <c r="I144" s="414"/>
    </row>
    <row r="145" spans="1:9" ht="12.75">
      <c r="A145" s="415" t="s">
        <v>436</v>
      </c>
      <c r="B145" s="416"/>
      <c r="C145" s="416"/>
      <c r="D145" s="416"/>
      <c r="E145" s="416"/>
      <c r="F145" s="416"/>
      <c r="G145" s="417" t="s">
        <v>437</v>
      </c>
      <c r="H145" s="417" t="s">
        <v>14</v>
      </c>
      <c r="I145" s="418">
        <f>(I9+I53)/I9</f>
        <v>1.3312799452429842</v>
      </c>
    </row>
    <row r="146" spans="1:9" ht="12.75">
      <c r="A146" s="337" t="s">
        <v>438</v>
      </c>
      <c r="B146" s="338"/>
      <c r="C146" s="338"/>
      <c r="D146" s="338"/>
      <c r="E146" s="338"/>
      <c r="F146" s="338"/>
      <c r="G146" s="214"/>
      <c r="H146" s="214"/>
      <c r="I146" s="215"/>
    </row>
    <row r="147" spans="1:9" ht="12.75">
      <c r="A147" s="337"/>
      <c r="B147" s="338"/>
      <c r="C147" s="338"/>
      <c r="D147" s="338"/>
      <c r="E147" s="338"/>
      <c r="F147" s="338"/>
      <c r="G147" s="13"/>
      <c r="H147" s="13"/>
      <c r="I147" s="14"/>
    </row>
    <row r="148" spans="1:9" ht="12.75">
      <c r="A148" s="419" t="s">
        <v>439</v>
      </c>
      <c r="B148" s="420"/>
      <c r="C148" s="420"/>
      <c r="D148" s="420"/>
      <c r="E148" s="420"/>
      <c r="F148" s="420"/>
      <c r="G148" s="214" t="s">
        <v>440</v>
      </c>
      <c r="H148" s="214" t="s">
        <v>14</v>
      </c>
      <c r="I148" s="215">
        <f>3.14/2*(I53+I9)</f>
        <v>610.73</v>
      </c>
    </row>
    <row r="149" spans="1:9" ht="15">
      <c r="A149" s="421" t="s">
        <v>441</v>
      </c>
      <c r="B149" s="420"/>
      <c r="C149" s="420"/>
      <c r="D149" s="420"/>
      <c r="E149" s="420"/>
      <c r="F149" s="420"/>
      <c r="G149" s="214"/>
      <c r="H149" s="214"/>
      <c r="I149" s="215"/>
    </row>
    <row r="150" spans="1:9" ht="12.75">
      <c r="A150" s="337"/>
      <c r="B150" s="338"/>
      <c r="C150" s="338"/>
      <c r="D150" s="338"/>
      <c r="E150" s="338"/>
      <c r="F150" s="338"/>
      <c r="G150" s="13"/>
      <c r="H150" s="13"/>
      <c r="I150" s="14"/>
    </row>
    <row r="151" spans="1:9" ht="12.75">
      <c r="A151" s="365" t="s">
        <v>442</v>
      </c>
      <c r="B151" s="366"/>
      <c r="C151" s="366"/>
      <c r="D151" s="366"/>
      <c r="E151" s="366"/>
      <c r="F151" s="366"/>
      <c r="G151" s="47" t="s">
        <v>14</v>
      </c>
      <c r="H151" s="47" t="s">
        <v>11</v>
      </c>
      <c r="I151" s="53">
        <f>0.7071*I18</f>
        <v>11.3136</v>
      </c>
    </row>
    <row r="152" spans="1:9" ht="12.75">
      <c r="A152" s="365"/>
      <c r="B152" s="366"/>
      <c r="C152" s="366"/>
      <c r="D152" s="366"/>
      <c r="E152" s="366"/>
      <c r="F152" s="366"/>
      <c r="G152" s="47"/>
      <c r="H152" s="47"/>
      <c r="I152" s="53"/>
    </row>
    <row r="153" spans="1:9" ht="12.75">
      <c r="A153" s="337" t="s">
        <v>443</v>
      </c>
      <c r="B153" s="338"/>
      <c r="C153" s="338"/>
      <c r="D153" s="338"/>
      <c r="E153" s="338"/>
      <c r="F153" s="338"/>
      <c r="G153" s="214" t="s">
        <v>444</v>
      </c>
      <c r="H153" s="214" t="s">
        <v>98</v>
      </c>
      <c r="I153" s="215">
        <f>MIN(I111*I145,1.5*I17*I89,3.14/4*I5*I9^2*I145^2)</f>
        <v>19463.743106883012</v>
      </c>
    </row>
    <row r="154" spans="1:9" ht="12.75">
      <c r="A154" s="337" t="s">
        <v>445</v>
      </c>
      <c r="B154" s="338"/>
      <c r="C154" s="338"/>
      <c r="D154" s="338"/>
      <c r="E154" s="338"/>
      <c r="F154" s="338"/>
      <c r="G154" s="214"/>
      <c r="H154" s="214"/>
      <c r="I154" s="215"/>
    </row>
    <row r="155" spans="1:9" ht="12.75">
      <c r="A155" s="337"/>
      <c r="B155" s="338"/>
      <c r="C155" s="338"/>
      <c r="D155" s="338"/>
      <c r="E155" s="338"/>
      <c r="F155" s="338"/>
      <c r="G155" s="13"/>
      <c r="H155" s="13"/>
      <c r="I155" s="14"/>
    </row>
    <row r="156" spans="1:9" ht="12.75">
      <c r="A156" s="337" t="s">
        <v>446</v>
      </c>
      <c r="B156" s="338"/>
      <c r="C156" s="338"/>
      <c r="D156" s="338"/>
      <c r="E156" s="338"/>
      <c r="F156" s="338"/>
      <c r="G156" s="423" t="s">
        <v>447</v>
      </c>
      <c r="H156" s="214" t="s">
        <v>306</v>
      </c>
      <c r="I156" s="215">
        <f>I153/(I148*(0.49*I151+0.6*(I11-I15)))</f>
        <v>0.6985330356599903</v>
      </c>
    </row>
    <row r="157" spans="1:9" ht="12.75">
      <c r="A157" s="337"/>
      <c r="B157" s="338"/>
      <c r="C157" s="338"/>
      <c r="D157" s="338"/>
      <c r="E157" s="338"/>
      <c r="F157" s="338"/>
      <c r="G157" s="214"/>
      <c r="H157" s="214"/>
      <c r="I157" s="215"/>
    </row>
    <row r="158" spans="1:9" ht="18" thickBot="1">
      <c r="A158" s="401" t="str">
        <f>IF(I156&lt;I16,"WELD STRENGTH IS OK","WELD STRENGTH IS NOT OK")</f>
        <v>WELD STRENGTH IS OK</v>
      </c>
      <c r="B158" s="402"/>
      <c r="C158" s="402"/>
      <c r="D158" s="402"/>
      <c r="E158" s="402"/>
      <c r="F158" s="402"/>
      <c r="G158" s="402"/>
      <c r="H158" s="402"/>
      <c r="I158" s="403"/>
    </row>
    <row r="159" spans="1:6" ht="12.75">
      <c r="A159" s="422"/>
      <c r="B159" s="422"/>
      <c r="C159" s="422"/>
      <c r="D159" s="422"/>
      <c r="E159" s="422"/>
      <c r="F159" s="422"/>
    </row>
    <row r="160" spans="1:6" ht="12.75">
      <c r="A160" s="422" t="s">
        <v>448</v>
      </c>
      <c r="B160" s="422"/>
      <c r="C160" s="422"/>
      <c r="D160" s="422"/>
      <c r="E160" s="422"/>
      <c r="F160" s="422"/>
    </row>
    <row r="161" spans="1:6" ht="12.75">
      <c r="A161" s="422" t="s">
        <v>449</v>
      </c>
      <c r="B161" s="422"/>
      <c r="C161" s="422"/>
      <c r="D161" s="422"/>
      <c r="E161" s="422"/>
      <c r="F161" s="422"/>
    </row>
    <row r="162" spans="1:6" ht="12.75">
      <c r="A162" s="422" t="s">
        <v>450</v>
      </c>
      <c r="B162" s="422"/>
      <c r="C162" s="422"/>
      <c r="D162" s="422"/>
      <c r="E162" s="422"/>
      <c r="F162" s="422"/>
    </row>
  </sheetData>
  <sheetProtection password="CD2A" sheet="1"/>
  <mergeCells count="216">
    <mergeCell ref="A162:F162"/>
    <mergeCell ref="A158:I158"/>
    <mergeCell ref="A159:F159"/>
    <mergeCell ref="A160:F160"/>
    <mergeCell ref="A161:F161"/>
    <mergeCell ref="I153:I154"/>
    <mergeCell ref="A154:F154"/>
    <mergeCell ref="A155:F155"/>
    <mergeCell ref="A156:F156"/>
    <mergeCell ref="G156:G157"/>
    <mergeCell ref="H156:H157"/>
    <mergeCell ref="I156:I157"/>
    <mergeCell ref="A157:F157"/>
    <mergeCell ref="A150:F150"/>
    <mergeCell ref="A151:F151"/>
    <mergeCell ref="A152:F152"/>
    <mergeCell ref="A153:F153"/>
    <mergeCell ref="G153:G154"/>
    <mergeCell ref="H153:H154"/>
    <mergeCell ref="A147:F147"/>
    <mergeCell ref="A148:F148"/>
    <mergeCell ref="G148:G149"/>
    <mergeCell ref="H148:H149"/>
    <mergeCell ref="I148:I149"/>
    <mergeCell ref="A149:F149"/>
    <mergeCell ref="A144:I144"/>
    <mergeCell ref="A145:F145"/>
    <mergeCell ref="G145:G146"/>
    <mergeCell ref="H145:H146"/>
    <mergeCell ref="I145:I146"/>
    <mergeCell ref="A146:F146"/>
    <mergeCell ref="A138:I138"/>
    <mergeCell ref="A139:I139"/>
    <mergeCell ref="A140:F140"/>
    <mergeCell ref="A141:F141"/>
    <mergeCell ref="A142:I142"/>
    <mergeCell ref="A143:F143"/>
    <mergeCell ref="A135:I135"/>
    <mergeCell ref="A136:F136"/>
    <mergeCell ref="G136:G137"/>
    <mergeCell ref="H136:H137"/>
    <mergeCell ref="I136:I137"/>
    <mergeCell ref="A137:F137"/>
    <mergeCell ref="A132:I132"/>
    <mergeCell ref="A133:F133"/>
    <mergeCell ref="G133:G134"/>
    <mergeCell ref="H133:H134"/>
    <mergeCell ref="I133:I134"/>
    <mergeCell ref="A134:F134"/>
    <mergeCell ref="A125:I125"/>
    <mergeCell ref="A126:I126"/>
    <mergeCell ref="A127:I127"/>
    <mergeCell ref="A128:F128"/>
    <mergeCell ref="A129:I129"/>
    <mergeCell ref="A130:F130"/>
    <mergeCell ref="G130:G131"/>
    <mergeCell ref="H130:H131"/>
    <mergeCell ref="I130:I131"/>
    <mergeCell ref="A131:F131"/>
    <mergeCell ref="A122:I122"/>
    <mergeCell ref="A123:F123"/>
    <mergeCell ref="G123:G124"/>
    <mergeCell ref="H123:H124"/>
    <mergeCell ref="I123:I124"/>
    <mergeCell ref="A124:F124"/>
    <mergeCell ref="A119:I119"/>
    <mergeCell ref="A120:F120"/>
    <mergeCell ref="G120:G121"/>
    <mergeCell ref="H120:H121"/>
    <mergeCell ref="I120:I121"/>
    <mergeCell ref="A121:F121"/>
    <mergeCell ref="A116:I116"/>
    <mergeCell ref="A117:F117"/>
    <mergeCell ref="G117:G118"/>
    <mergeCell ref="H117:H118"/>
    <mergeCell ref="I117:I118"/>
    <mergeCell ref="A118:F118"/>
    <mergeCell ref="A113:I113"/>
    <mergeCell ref="A114:F114"/>
    <mergeCell ref="G114:G115"/>
    <mergeCell ref="H114:H115"/>
    <mergeCell ref="I114:I115"/>
    <mergeCell ref="A115:F115"/>
    <mergeCell ref="A110:I110"/>
    <mergeCell ref="A111:F111"/>
    <mergeCell ref="G111:G112"/>
    <mergeCell ref="H111:H112"/>
    <mergeCell ref="I111:I112"/>
    <mergeCell ref="A112:F112"/>
    <mergeCell ref="A107:I107"/>
    <mergeCell ref="A108:F108"/>
    <mergeCell ref="G108:G109"/>
    <mergeCell ref="H108:H109"/>
    <mergeCell ref="I108:I109"/>
    <mergeCell ref="A109:F109"/>
    <mergeCell ref="A104:I104"/>
    <mergeCell ref="A105:F105"/>
    <mergeCell ref="G105:G106"/>
    <mergeCell ref="H105:H106"/>
    <mergeCell ref="I105:I106"/>
    <mergeCell ref="A106:F106"/>
    <mergeCell ref="A101:I101"/>
    <mergeCell ref="A102:F102"/>
    <mergeCell ref="G102:G103"/>
    <mergeCell ref="H102:H103"/>
    <mergeCell ref="I102:I103"/>
    <mergeCell ref="A103:F103"/>
    <mergeCell ref="A98:I98"/>
    <mergeCell ref="A99:F99"/>
    <mergeCell ref="G99:G100"/>
    <mergeCell ref="H99:H100"/>
    <mergeCell ref="I99:I100"/>
    <mergeCell ref="A100:F100"/>
    <mergeCell ref="A90:I90"/>
    <mergeCell ref="A91:F91"/>
    <mergeCell ref="A92:I92"/>
    <mergeCell ref="A93:F93"/>
    <mergeCell ref="A95:I95"/>
    <mergeCell ref="A96:F96"/>
    <mergeCell ref="G96:G97"/>
    <mergeCell ref="H96:H97"/>
    <mergeCell ref="I96:I97"/>
    <mergeCell ref="A97:F97"/>
    <mergeCell ref="A84:I84"/>
    <mergeCell ref="A85:F85"/>
    <mergeCell ref="A86:F86"/>
    <mergeCell ref="A87:F87"/>
    <mergeCell ref="A88:F88"/>
    <mergeCell ref="A89:F89"/>
    <mergeCell ref="A81:I81"/>
    <mergeCell ref="A82:F82"/>
    <mergeCell ref="G82:G83"/>
    <mergeCell ref="H82:H83"/>
    <mergeCell ref="I82:I83"/>
    <mergeCell ref="A83:F83"/>
    <mergeCell ref="A76:F76"/>
    <mergeCell ref="G76:G77"/>
    <mergeCell ref="H76:H77"/>
    <mergeCell ref="I76:I77"/>
    <mergeCell ref="A77:F77"/>
    <mergeCell ref="A79:F79"/>
    <mergeCell ref="A70:F70"/>
    <mergeCell ref="A71:F71"/>
    <mergeCell ref="A72:F72"/>
    <mergeCell ref="A73:F73"/>
    <mergeCell ref="A74:F74"/>
    <mergeCell ref="A75:F75"/>
    <mergeCell ref="J64:J65"/>
    <mergeCell ref="A65:F65"/>
    <mergeCell ref="A67:I67"/>
    <mergeCell ref="A68:F68"/>
    <mergeCell ref="G68:G69"/>
    <mergeCell ref="H68:H69"/>
    <mergeCell ref="I68:I69"/>
    <mergeCell ref="A69:F69"/>
    <mergeCell ref="A59:F59"/>
    <mergeCell ref="A60:F60"/>
    <mergeCell ref="A61:F61"/>
    <mergeCell ref="A62:F62"/>
    <mergeCell ref="A63:I63"/>
    <mergeCell ref="A64:F64"/>
    <mergeCell ref="G64:G65"/>
    <mergeCell ref="H64:H65"/>
    <mergeCell ref="I64:I65"/>
    <mergeCell ref="A56:F56"/>
    <mergeCell ref="G56:G57"/>
    <mergeCell ref="H56:H57"/>
    <mergeCell ref="I56:I57"/>
    <mergeCell ref="A57:F57"/>
    <mergeCell ref="A58:F58"/>
    <mergeCell ref="A53:F53"/>
    <mergeCell ref="G53:G54"/>
    <mergeCell ref="H53:H54"/>
    <mergeCell ref="I53:I54"/>
    <mergeCell ref="A54:F54"/>
    <mergeCell ref="A55:F55"/>
    <mergeCell ref="A50:F50"/>
    <mergeCell ref="G50:G51"/>
    <mergeCell ref="H50:H51"/>
    <mergeCell ref="I50:I51"/>
    <mergeCell ref="A51:F51"/>
    <mergeCell ref="A52:F52"/>
    <mergeCell ref="C25:I45"/>
    <mergeCell ref="A46:D47"/>
    <mergeCell ref="E46:G47"/>
    <mergeCell ref="H46:I47"/>
    <mergeCell ref="A48:I48"/>
    <mergeCell ref="A49:I49"/>
    <mergeCell ref="A17:F17"/>
    <mergeCell ref="A18:F18"/>
    <mergeCell ref="A19:F19"/>
    <mergeCell ref="A20:F20"/>
    <mergeCell ref="A22:I22"/>
    <mergeCell ref="A23:F24"/>
    <mergeCell ref="G23:G24"/>
    <mergeCell ref="H23:H24"/>
    <mergeCell ref="I23:I24"/>
    <mergeCell ref="A11:F11"/>
    <mergeCell ref="A12:F12"/>
    <mergeCell ref="A13:F13"/>
    <mergeCell ref="A14:F14"/>
    <mergeCell ref="A15:F15"/>
    <mergeCell ref="A16:F16"/>
    <mergeCell ref="A5:F5"/>
    <mergeCell ref="A6:F6"/>
    <mergeCell ref="A7:F7"/>
    <mergeCell ref="A8:F8"/>
    <mergeCell ref="A9:F9"/>
    <mergeCell ref="A10:F10"/>
    <mergeCell ref="A1:A4"/>
    <mergeCell ref="B1:G2"/>
    <mergeCell ref="H1:H2"/>
    <mergeCell ref="I1:I2"/>
    <mergeCell ref="B3:G4"/>
    <mergeCell ref="H3:H4"/>
    <mergeCell ref="I3:I4"/>
  </mergeCells>
  <conditionalFormatting sqref="A49:I49">
    <cfRule type="expression" priority="1" dxfId="0" stopIfTrue="1">
      <formula>IF($H$46&gt;$I$12,TRUE,FALSE)</formula>
    </cfRule>
  </conditionalFormatting>
  <conditionalFormatting sqref="A48:I48">
    <cfRule type="expression" priority="2" dxfId="1" stopIfTrue="1">
      <formula>IF($H$46&lt;$I$12,TRUE,FALSE)</formula>
    </cfRule>
  </conditionalFormatting>
  <conditionalFormatting sqref="A126">
    <cfRule type="expression" priority="3" dxfId="0" stopIfTrue="1">
      <formula>IF($I$123&lt;$I$5,TRUE,FALSE)</formula>
    </cfRule>
    <cfRule type="expression" priority="4" dxfId="1" stopIfTrue="1">
      <formula>IF($I$123&gt;$I$5,TRUE,FALSE)</formula>
    </cfRule>
  </conditionalFormatting>
  <conditionalFormatting sqref="A127:I127">
    <cfRule type="expression" priority="5" dxfId="0" stopIfTrue="1">
      <formula>IF($I$123&lt;$I$5,TRUE,FALSE)</formula>
    </cfRule>
  </conditionalFormatting>
  <conditionalFormatting sqref="A142:I142">
    <cfRule type="expression" priority="6" dxfId="1" stopIfTrue="1">
      <formula>IF($I$140&lt;$I$141,TRUE,FALSE)</formula>
    </cfRule>
    <cfRule type="expression" priority="7" dxfId="0" stopIfTrue="1">
      <formula>IF($I$140&gt;$I$141,TRUE,FALSE)</formula>
    </cfRule>
  </conditionalFormatting>
  <conditionalFormatting sqref="A158:I158">
    <cfRule type="expression" priority="8" dxfId="1" stopIfTrue="1">
      <formula>IF($I$156&lt;$I$16,TRUE,FALSE)</formula>
    </cfRule>
    <cfRule type="expression" priority="9" dxfId="0" stopIfTrue="1">
      <formula>IF($I$156&lt;$I$16,TRUE,FALSE)</formula>
    </cfRule>
  </conditionalFormatting>
  <printOptions/>
  <pageMargins left="0.75" right="0.75" top="1" bottom="1" header="0.5" footer="0.5"/>
  <pageSetup orientation="portrait" paperSize="9"/>
  <drawing r:id="rId3"/>
  <legacyDrawing r:id="rId2"/>
  <oleObjects>
    <oleObject progId="Word.Picture.8" shapeId="13910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sm_trainee</dc:creator>
  <cp:keywords/>
  <dc:description/>
  <cp:lastModifiedBy>jhon</cp:lastModifiedBy>
  <cp:lastPrinted>2013-05-27T10:19:28Z</cp:lastPrinted>
  <dcterms:created xsi:type="dcterms:W3CDTF">2013-05-15T05:33:04Z</dcterms:created>
  <dcterms:modified xsi:type="dcterms:W3CDTF">2017-04-16T12:08:24Z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